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activeTab="2"/>
  </bookViews>
  <sheets>
    <sheet name="Table13" sheetId="2" r:id="rId1"/>
    <sheet name="Table 14" sheetId="8" r:id="rId2"/>
    <sheet name="Table 15-25" sheetId="4" r:id="rId3"/>
    <sheet name="Table 26-29" sheetId="5" r:id="rId4"/>
  </sheets>
  <definedNames>
    <definedName name="_xlnm.Print_Area" localSheetId="2">'Table 15-25'!$A$1:$J$429</definedName>
  </definedNames>
  <calcPr calcId="162913" iterateDelta="0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37" i="5" l="1"/>
  <c r="H148" i="5"/>
  <c r="H98" i="5"/>
  <c r="H91" i="5"/>
  <c r="H86" i="5"/>
  <c r="J174" i="4" l="1"/>
  <c r="L14" i="2"/>
  <c r="L15" i="2"/>
  <c r="L16" i="2"/>
  <c r="L17" i="2"/>
  <c r="L13" i="2"/>
  <c r="L7" i="2"/>
  <c r="M7" i="2" s="1"/>
  <c r="L8" i="2"/>
  <c r="M8" i="2" s="1"/>
  <c r="L9" i="2"/>
  <c r="M9" i="2" s="1"/>
  <c r="L10" i="2"/>
  <c r="M10" i="2" s="1"/>
  <c r="L11" i="2"/>
  <c r="M11" i="2" s="1"/>
  <c r="L6" i="2"/>
  <c r="J362" i="4" l="1"/>
  <c r="H5" i="4"/>
  <c r="I5" i="4"/>
  <c r="O28" i="8" l="1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I28" i="8"/>
  <c r="H28" i="8"/>
  <c r="C28" i="8"/>
  <c r="B28" i="8"/>
  <c r="C27" i="8"/>
  <c r="B27" i="8"/>
  <c r="I26" i="8"/>
  <c r="H26" i="8"/>
  <c r="C26" i="8"/>
  <c r="B26" i="8"/>
  <c r="I25" i="8"/>
  <c r="H25" i="8"/>
  <c r="C25" i="8"/>
  <c r="B25" i="8"/>
  <c r="I24" i="8"/>
  <c r="H24" i="8"/>
  <c r="C24" i="8"/>
  <c r="B24" i="8"/>
  <c r="I23" i="8"/>
  <c r="H23" i="8"/>
  <c r="C23" i="8"/>
  <c r="B23" i="8"/>
  <c r="I22" i="8"/>
  <c r="H22" i="8"/>
  <c r="C22" i="8"/>
  <c r="B22" i="8"/>
  <c r="I21" i="8"/>
  <c r="H21" i="8"/>
  <c r="C21" i="8"/>
  <c r="B21" i="8"/>
  <c r="I20" i="8"/>
  <c r="H20" i="8"/>
  <c r="C20" i="8"/>
  <c r="B20" i="8"/>
  <c r="I19" i="8"/>
  <c r="H19" i="8"/>
  <c r="C19" i="8"/>
  <c r="B19" i="8"/>
  <c r="I17" i="8"/>
  <c r="H17" i="8"/>
  <c r="C17" i="8"/>
  <c r="B17" i="8"/>
  <c r="I16" i="8"/>
  <c r="H16" i="8"/>
  <c r="C16" i="8"/>
  <c r="B16" i="8"/>
  <c r="I15" i="8"/>
  <c r="H15" i="8"/>
  <c r="C15" i="8"/>
  <c r="B15" i="8"/>
  <c r="I14" i="8"/>
  <c r="H14" i="8"/>
  <c r="C14" i="8"/>
  <c r="B14" i="8"/>
  <c r="I13" i="8"/>
  <c r="H13" i="8"/>
  <c r="C13" i="8"/>
  <c r="B13" i="8"/>
  <c r="I12" i="8"/>
  <c r="H12" i="8"/>
  <c r="C12" i="8"/>
  <c r="B12" i="8"/>
  <c r="I11" i="8"/>
  <c r="H11" i="8"/>
  <c r="C11" i="8"/>
  <c r="B11" i="8"/>
  <c r="I10" i="8"/>
  <c r="H10" i="8"/>
  <c r="C10" i="8"/>
  <c r="B10" i="8"/>
  <c r="I9" i="8"/>
  <c r="H9" i="8"/>
  <c r="C9" i="8"/>
  <c r="B9" i="8"/>
  <c r="I8" i="8"/>
  <c r="H8" i="8"/>
  <c r="C8" i="8"/>
  <c r="B8" i="8"/>
  <c r="I7" i="8"/>
  <c r="H7" i="8"/>
  <c r="C7" i="8"/>
  <c r="B7" i="8"/>
  <c r="J125" i="5" l="1"/>
  <c r="J126" i="5"/>
  <c r="J127" i="5"/>
  <c r="J128" i="5"/>
  <c r="J129" i="5"/>
  <c r="J130" i="5"/>
  <c r="J131" i="5"/>
  <c r="J132" i="5"/>
  <c r="J133" i="5"/>
  <c r="J134" i="5"/>
  <c r="J137" i="5"/>
  <c r="J140" i="5"/>
  <c r="J141" i="5"/>
  <c r="J142" i="5"/>
  <c r="J143" i="5"/>
  <c r="J146" i="5"/>
  <c r="J148" i="5"/>
  <c r="J150" i="5"/>
  <c r="J151" i="5"/>
  <c r="J152" i="5"/>
  <c r="J153" i="5"/>
  <c r="J124" i="5"/>
  <c r="J136" i="5"/>
  <c r="J139" i="5"/>
  <c r="J144" i="5"/>
  <c r="J147" i="5"/>
  <c r="J145" i="5"/>
  <c r="J149" i="5"/>
  <c r="J86" i="5"/>
  <c r="J87" i="5"/>
  <c r="J88" i="5"/>
  <c r="J89" i="5"/>
  <c r="J90" i="5"/>
  <c r="J91" i="5"/>
  <c r="J92" i="5"/>
  <c r="J93" i="5"/>
  <c r="J94" i="5"/>
  <c r="J95" i="5"/>
  <c r="J96" i="5"/>
  <c r="J98" i="5"/>
  <c r="J101" i="5"/>
  <c r="J102" i="5"/>
  <c r="J103" i="5"/>
  <c r="J104" i="5"/>
  <c r="J107" i="5"/>
  <c r="J109" i="5"/>
  <c r="J111" i="5"/>
  <c r="J112" i="5"/>
  <c r="J113" i="5"/>
  <c r="J114" i="5"/>
  <c r="J85" i="5"/>
  <c r="J97" i="5"/>
  <c r="J100" i="5"/>
  <c r="J105" i="5"/>
  <c r="J108" i="5"/>
  <c r="J106" i="5"/>
  <c r="J110" i="5"/>
  <c r="J47" i="5"/>
  <c r="J48" i="5"/>
  <c r="J49" i="5"/>
  <c r="J50" i="5"/>
  <c r="J51" i="5"/>
  <c r="J52" i="5"/>
  <c r="J53" i="5"/>
  <c r="J54" i="5"/>
  <c r="J55" i="5"/>
  <c r="J56" i="5"/>
  <c r="J59" i="5"/>
  <c r="J62" i="5"/>
  <c r="J63" i="5"/>
  <c r="J64" i="5"/>
  <c r="J65" i="5"/>
  <c r="J68" i="5"/>
  <c r="J70" i="5"/>
  <c r="J72" i="5"/>
  <c r="J73" i="5"/>
  <c r="J74" i="5"/>
  <c r="J46" i="5"/>
  <c r="J58" i="5"/>
  <c r="J61" i="5"/>
  <c r="J66" i="5"/>
  <c r="J69" i="5"/>
  <c r="J67" i="5"/>
  <c r="J8" i="5"/>
  <c r="J9" i="5"/>
  <c r="J10" i="5"/>
  <c r="J11" i="5"/>
  <c r="J12" i="5"/>
  <c r="J13" i="5"/>
  <c r="J14" i="5"/>
  <c r="J15" i="5"/>
  <c r="J16" i="5"/>
  <c r="J17" i="5"/>
  <c r="J20" i="5"/>
  <c r="J23" i="5"/>
  <c r="J24" i="5"/>
  <c r="J25" i="5"/>
  <c r="J26" i="5"/>
  <c r="J29" i="5"/>
  <c r="J31" i="5"/>
  <c r="J33" i="5"/>
  <c r="J34" i="5"/>
  <c r="J35" i="5"/>
  <c r="J7" i="5"/>
  <c r="J19" i="5"/>
  <c r="J22" i="5"/>
  <c r="J27" i="5"/>
  <c r="J30" i="5"/>
  <c r="J28" i="5"/>
  <c r="J32" i="5"/>
  <c r="J398" i="4"/>
  <c r="J399" i="4"/>
  <c r="J400" i="4"/>
  <c r="J403" i="4"/>
  <c r="J404" i="4"/>
  <c r="J405" i="4"/>
  <c r="J406" i="4"/>
  <c r="J407" i="4"/>
  <c r="J408" i="4"/>
  <c r="J410" i="4"/>
  <c r="J413" i="4"/>
  <c r="J414" i="4"/>
  <c r="J415" i="4"/>
  <c r="J416" i="4"/>
  <c r="J419" i="4"/>
  <c r="J421" i="4"/>
  <c r="J424" i="4"/>
  <c r="J425" i="4"/>
  <c r="J426" i="4"/>
  <c r="J397" i="4"/>
  <c r="J409" i="4"/>
  <c r="J417" i="4"/>
  <c r="J420" i="4"/>
  <c r="J319" i="4"/>
  <c r="J321" i="4"/>
  <c r="J322" i="4"/>
  <c r="J324" i="4"/>
  <c r="J327" i="4"/>
  <c r="J328" i="4"/>
  <c r="J331" i="4"/>
  <c r="J334" i="4"/>
  <c r="J335" i="4"/>
  <c r="J337" i="4"/>
  <c r="J340" i="4"/>
  <c r="J342" i="4"/>
  <c r="J345" i="4"/>
  <c r="J347" i="4"/>
  <c r="J330" i="4"/>
  <c r="J338" i="4"/>
  <c r="J283" i="4"/>
  <c r="J284" i="4"/>
  <c r="J287" i="4"/>
  <c r="J297" i="4"/>
  <c r="J298" i="4"/>
  <c r="J299" i="4"/>
  <c r="J302" i="4"/>
  <c r="J307" i="4"/>
  <c r="J308" i="4"/>
  <c r="J245" i="4"/>
  <c r="J246" i="4"/>
  <c r="J247" i="4"/>
  <c r="J248" i="4"/>
  <c r="J249" i="4"/>
  <c r="J250" i="4"/>
  <c r="J251" i="4"/>
  <c r="J252" i="4"/>
  <c r="J254" i="4"/>
  <c r="J257" i="4"/>
  <c r="J258" i="4"/>
  <c r="J259" i="4"/>
  <c r="J260" i="4"/>
  <c r="J263" i="4"/>
  <c r="J265" i="4"/>
  <c r="J267" i="4"/>
  <c r="J268" i="4"/>
  <c r="J269" i="4"/>
  <c r="J270" i="4"/>
  <c r="J241" i="4"/>
  <c r="J253" i="4"/>
  <c r="J256" i="4"/>
  <c r="J261" i="4"/>
  <c r="J264" i="4"/>
  <c r="J262" i="4"/>
  <c r="J203" i="4"/>
  <c r="J206" i="4"/>
  <c r="J207" i="4"/>
  <c r="J208" i="4"/>
  <c r="J211" i="4"/>
  <c r="J212" i="4"/>
  <c r="J213" i="4"/>
  <c r="J215" i="4"/>
  <c r="J218" i="4"/>
  <c r="J214" i="4"/>
  <c r="J169" i="4"/>
  <c r="J173" i="4"/>
  <c r="J176" i="4"/>
  <c r="J179" i="4"/>
  <c r="J182" i="4"/>
  <c r="J187" i="4"/>
  <c r="J190" i="4"/>
  <c r="J175" i="4"/>
  <c r="J183" i="4"/>
  <c r="J186" i="4"/>
  <c r="I122" i="4"/>
  <c r="H122" i="4"/>
  <c r="J130" i="4"/>
  <c r="J134" i="4"/>
  <c r="J135" i="4"/>
  <c r="J137" i="4"/>
  <c r="J140" i="4"/>
  <c r="J146" i="4"/>
  <c r="J151" i="4"/>
  <c r="J153" i="4"/>
  <c r="J85" i="4"/>
  <c r="J100" i="4"/>
  <c r="J108" i="4"/>
  <c r="J106" i="4"/>
  <c r="J98" i="4"/>
  <c r="J122" i="4" l="1"/>
  <c r="E20" i="5"/>
  <c r="E8" i="5"/>
  <c r="I200" i="4"/>
  <c r="H200" i="4"/>
  <c r="I161" i="4"/>
  <c r="H161" i="4"/>
  <c r="I316" i="4" l="1"/>
  <c r="H316" i="4"/>
  <c r="J46" i="4"/>
  <c r="J58" i="4"/>
  <c r="J61" i="4"/>
  <c r="J66" i="4"/>
  <c r="J69" i="4"/>
  <c r="J67" i="4"/>
  <c r="J71" i="4"/>
  <c r="J7" i="4"/>
  <c r="J19" i="4"/>
  <c r="J22" i="4"/>
  <c r="J27" i="4"/>
  <c r="J30" i="4"/>
  <c r="J28" i="4"/>
  <c r="J32" i="4"/>
  <c r="I122" i="5" l="1"/>
  <c r="H122" i="5"/>
  <c r="I83" i="5"/>
  <c r="H83" i="5"/>
  <c r="I44" i="5"/>
  <c r="H44" i="5"/>
  <c r="I5" i="5"/>
  <c r="H5" i="5"/>
  <c r="C5" i="4"/>
  <c r="B5" i="4"/>
  <c r="F395" i="4"/>
  <c r="I395" i="4"/>
  <c r="H395" i="4"/>
  <c r="F355" i="4"/>
  <c r="E355" i="4"/>
  <c r="C355" i="4"/>
  <c r="B355" i="4"/>
  <c r="I355" i="4"/>
  <c r="H355" i="4"/>
  <c r="F278" i="4"/>
  <c r="E278" i="4"/>
  <c r="C278" i="4"/>
  <c r="B278" i="4"/>
  <c r="I278" i="4"/>
  <c r="H278" i="4"/>
  <c r="I239" i="4"/>
  <c r="H239" i="4"/>
  <c r="I83" i="4"/>
  <c r="H83" i="4"/>
  <c r="I44" i="4"/>
  <c r="H44" i="4"/>
  <c r="G44" i="4"/>
  <c r="J44" i="4" l="1"/>
  <c r="D287" i="4"/>
  <c r="G283" i="4"/>
  <c r="G284" i="4"/>
  <c r="G287" i="4"/>
  <c r="G297" i="4"/>
  <c r="G298" i="4"/>
  <c r="G299" i="4"/>
  <c r="G302" i="4"/>
  <c r="G307" i="4"/>
  <c r="G308" i="4"/>
  <c r="G278" i="4"/>
  <c r="F324" i="4" l="1"/>
  <c r="F342" i="4"/>
  <c r="E342" i="4"/>
  <c r="E324" i="4"/>
  <c r="F319" i="4"/>
  <c r="E319" i="4"/>
  <c r="G321" i="4"/>
  <c r="G322" i="4"/>
  <c r="G327" i="4"/>
  <c r="G328" i="4"/>
  <c r="G331" i="4"/>
  <c r="G334" i="4"/>
  <c r="G335" i="4"/>
  <c r="G336" i="4"/>
  <c r="G337" i="4"/>
  <c r="G340" i="4"/>
  <c r="G345" i="4"/>
  <c r="G347" i="4"/>
  <c r="G330" i="4"/>
  <c r="G338" i="4"/>
  <c r="E316" i="4" l="1"/>
  <c r="G324" i="4"/>
  <c r="F316" i="4"/>
  <c r="G316" i="4" s="1"/>
  <c r="G342" i="4"/>
  <c r="G319" i="4"/>
  <c r="F137" i="5"/>
  <c r="F148" i="5"/>
  <c r="F125" i="5"/>
  <c r="F130" i="5"/>
  <c r="E148" i="5"/>
  <c r="E137" i="5"/>
  <c r="E130" i="5"/>
  <c r="E125" i="5"/>
  <c r="G123" i="5"/>
  <c r="G126" i="5"/>
  <c r="G127" i="5"/>
  <c r="G128" i="5"/>
  <c r="G129" i="5"/>
  <c r="G131" i="5"/>
  <c r="G132" i="5"/>
  <c r="G133" i="5"/>
  <c r="G134" i="5"/>
  <c r="G138" i="5"/>
  <c r="G140" i="5"/>
  <c r="G141" i="5"/>
  <c r="G142" i="5"/>
  <c r="G143" i="5"/>
  <c r="G146" i="5"/>
  <c r="G150" i="5"/>
  <c r="G151" i="5"/>
  <c r="G152" i="5"/>
  <c r="G153" i="5"/>
  <c r="G124" i="5"/>
  <c r="G136" i="5"/>
  <c r="G139" i="5"/>
  <c r="G144" i="5"/>
  <c r="G147" i="5"/>
  <c r="G145" i="5"/>
  <c r="G149" i="5"/>
  <c r="F109" i="5"/>
  <c r="F98" i="5"/>
  <c r="F91" i="5"/>
  <c r="F86" i="5"/>
  <c r="G110" i="5"/>
  <c r="G84" i="5"/>
  <c r="G87" i="5"/>
  <c r="G88" i="5"/>
  <c r="G89" i="5"/>
  <c r="G90" i="5"/>
  <c r="G92" i="5"/>
  <c r="G93" i="5"/>
  <c r="G94" i="5"/>
  <c r="G95" i="5"/>
  <c r="G96" i="5"/>
  <c r="G99" i="5"/>
  <c r="G101" i="5"/>
  <c r="G102" i="5"/>
  <c r="G103" i="5"/>
  <c r="G104" i="5"/>
  <c r="G107" i="5"/>
  <c r="G111" i="5"/>
  <c r="G112" i="5"/>
  <c r="G113" i="5"/>
  <c r="G114" i="5"/>
  <c r="G85" i="5"/>
  <c r="G97" i="5"/>
  <c r="G100" i="5"/>
  <c r="G105" i="5"/>
  <c r="G108" i="5"/>
  <c r="G106" i="5"/>
  <c r="E109" i="5"/>
  <c r="E98" i="5"/>
  <c r="E91" i="5"/>
  <c r="E86" i="5"/>
  <c r="G373" i="4"/>
  <c r="G362" i="4"/>
  <c r="G355" i="4"/>
  <c r="F215" i="4"/>
  <c r="E215" i="4"/>
  <c r="G203" i="4"/>
  <c r="G206" i="4"/>
  <c r="G207" i="4"/>
  <c r="G208" i="4"/>
  <c r="G211" i="4"/>
  <c r="G212" i="4"/>
  <c r="G213" i="4"/>
  <c r="G218" i="4"/>
  <c r="G231" i="4"/>
  <c r="G214" i="4"/>
  <c r="G200" i="4"/>
  <c r="G169" i="4"/>
  <c r="G173" i="4"/>
  <c r="G174" i="4"/>
  <c r="G176" i="4"/>
  <c r="G179" i="4"/>
  <c r="G182" i="4"/>
  <c r="G187" i="4"/>
  <c r="G190" i="4"/>
  <c r="G192" i="4"/>
  <c r="G175" i="4"/>
  <c r="G183" i="4"/>
  <c r="G186" i="4"/>
  <c r="G161" i="4"/>
  <c r="F91" i="4"/>
  <c r="F83" i="4" s="1"/>
  <c r="E91" i="4"/>
  <c r="E86" i="4"/>
  <c r="G87" i="4"/>
  <c r="G88" i="4"/>
  <c r="G89" i="4"/>
  <c r="G90" i="4"/>
  <c r="G92" i="4"/>
  <c r="G93" i="4"/>
  <c r="G94" i="4"/>
  <c r="G98" i="4"/>
  <c r="G99" i="4"/>
  <c r="G101" i="4"/>
  <c r="G102" i="4"/>
  <c r="G103" i="4"/>
  <c r="G104" i="4"/>
  <c r="G107" i="4"/>
  <c r="G109" i="4"/>
  <c r="G111" i="4"/>
  <c r="G112" i="4"/>
  <c r="G113" i="4"/>
  <c r="G114" i="4"/>
  <c r="G85" i="4"/>
  <c r="G100" i="4"/>
  <c r="G108" i="4"/>
  <c r="G106" i="4"/>
  <c r="G91" i="5" l="1"/>
  <c r="G98" i="5"/>
  <c r="F122" i="5"/>
  <c r="E122" i="5"/>
  <c r="E83" i="5"/>
  <c r="F83" i="5"/>
  <c r="G83" i="5" s="1"/>
  <c r="G86" i="4"/>
  <c r="E83" i="4"/>
  <c r="G83" i="4" s="1"/>
  <c r="G109" i="5"/>
  <c r="G86" i="5"/>
  <c r="G130" i="5"/>
  <c r="G148" i="5"/>
  <c r="G137" i="5"/>
  <c r="G215" i="4"/>
  <c r="G125" i="5"/>
  <c r="G91" i="4"/>
  <c r="F70" i="4"/>
  <c r="E70" i="4"/>
  <c r="F59" i="4"/>
  <c r="E59" i="4"/>
  <c r="F52" i="4"/>
  <c r="E52" i="4"/>
  <c r="F47" i="4"/>
  <c r="E47" i="4"/>
  <c r="G45" i="4"/>
  <c r="G48" i="4"/>
  <c r="G49" i="4"/>
  <c r="G50" i="4"/>
  <c r="G51" i="4"/>
  <c r="G53" i="4"/>
  <c r="G54" i="4"/>
  <c r="G55" i="4"/>
  <c r="G56" i="4"/>
  <c r="G57" i="4"/>
  <c r="G60" i="4"/>
  <c r="G62" i="4"/>
  <c r="G63" i="4"/>
  <c r="G64" i="4"/>
  <c r="G65" i="4"/>
  <c r="G68" i="4"/>
  <c r="G72" i="4"/>
  <c r="G73" i="4"/>
  <c r="G74" i="4"/>
  <c r="G46" i="4"/>
  <c r="G58" i="4"/>
  <c r="G61" i="4"/>
  <c r="G66" i="4"/>
  <c r="G69" i="4"/>
  <c r="G67" i="4"/>
  <c r="G71" i="4"/>
  <c r="H6" i="2"/>
  <c r="I10" i="2" l="1"/>
  <c r="I11" i="2"/>
  <c r="I9" i="2"/>
  <c r="I8" i="2"/>
  <c r="I7" i="2"/>
  <c r="I6" i="2"/>
  <c r="M6" i="2"/>
  <c r="G122" i="5"/>
  <c r="G47" i="4"/>
  <c r="G59" i="4"/>
  <c r="G70" i="4"/>
  <c r="G52" i="4"/>
  <c r="G74" i="5"/>
  <c r="G75" i="5"/>
  <c r="F70" i="5"/>
  <c r="E70" i="5"/>
  <c r="F59" i="5"/>
  <c r="E59" i="5"/>
  <c r="F52" i="5"/>
  <c r="E52" i="5"/>
  <c r="F47" i="5"/>
  <c r="E47" i="5"/>
  <c r="G48" i="5"/>
  <c r="G49" i="5"/>
  <c r="G50" i="5"/>
  <c r="G51" i="5"/>
  <c r="G53" i="5"/>
  <c r="G54" i="5"/>
  <c r="G55" i="5"/>
  <c r="G56" i="5"/>
  <c r="G62" i="5"/>
  <c r="G63" i="5"/>
  <c r="G64" i="5"/>
  <c r="G65" i="5"/>
  <c r="G68" i="5"/>
  <c r="G72" i="5"/>
  <c r="G73" i="5"/>
  <c r="G46" i="5"/>
  <c r="G58" i="5"/>
  <c r="G61" i="5"/>
  <c r="G66" i="5"/>
  <c r="G69" i="5"/>
  <c r="G67" i="5"/>
  <c r="F31" i="5"/>
  <c r="F20" i="5"/>
  <c r="G20" i="5" s="1"/>
  <c r="F13" i="5"/>
  <c r="F8" i="5"/>
  <c r="E31" i="5"/>
  <c r="E13" i="5"/>
  <c r="G6" i="5"/>
  <c r="G9" i="5"/>
  <c r="G10" i="5"/>
  <c r="G11" i="5"/>
  <c r="G12" i="5"/>
  <c r="G14" i="5"/>
  <c r="G15" i="5"/>
  <c r="G16" i="5"/>
  <c r="G17" i="5"/>
  <c r="G21" i="5"/>
  <c r="G23" i="5"/>
  <c r="G24" i="5"/>
  <c r="G25" i="5"/>
  <c r="G26" i="5"/>
  <c r="G29" i="5"/>
  <c r="G33" i="5"/>
  <c r="G34" i="5"/>
  <c r="G35" i="5"/>
  <c r="G36" i="5"/>
  <c r="G7" i="5"/>
  <c r="G19" i="5"/>
  <c r="G22" i="5"/>
  <c r="G27" i="5"/>
  <c r="G30" i="5"/>
  <c r="G28" i="5"/>
  <c r="G32" i="5"/>
  <c r="F44" i="5" l="1"/>
  <c r="G8" i="5"/>
  <c r="F5" i="5"/>
  <c r="E44" i="5"/>
  <c r="E5" i="5"/>
  <c r="G59" i="5"/>
  <c r="G31" i="5"/>
  <c r="G13" i="5"/>
  <c r="G52" i="5"/>
  <c r="G70" i="5"/>
  <c r="G47" i="5"/>
  <c r="H14" i="2"/>
  <c r="H15" i="2"/>
  <c r="H16" i="2"/>
  <c r="M16" i="2" s="1"/>
  <c r="H13" i="2"/>
  <c r="H17" i="2"/>
  <c r="G396" i="4"/>
  <c r="G398" i="4"/>
  <c r="G399" i="4"/>
  <c r="G400" i="4"/>
  <c r="G403" i="4"/>
  <c r="G404" i="4"/>
  <c r="G405" i="4"/>
  <c r="G406" i="4"/>
  <c r="G407" i="4"/>
  <c r="G408" i="4"/>
  <c r="G410" i="4"/>
  <c r="G413" i="4"/>
  <c r="G414" i="4"/>
  <c r="G415" i="4"/>
  <c r="G416" i="4"/>
  <c r="G419" i="4"/>
  <c r="G424" i="4"/>
  <c r="G425" i="4"/>
  <c r="G426" i="4"/>
  <c r="G397" i="4"/>
  <c r="G409" i="4"/>
  <c r="G417" i="4"/>
  <c r="G420" i="4"/>
  <c r="E421" i="4"/>
  <c r="F265" i="4"/>
  <c r="E265" i="4"/>
  <c r="F254" i="4"/>
  <c r="E254" i="4"/>
  <c r="F242" i="4"/>
  <c r="E242" i="4"/>
  <c r="G240" i="4"/>
  <c r="G243" i="4"/>
  <c r="G244" i="4"/>
  <c r="G245" i="4"/>
  <c r="G246" i="4"/>
  <c r="G247" i="4"/>
  <c r="G248" i="4"/>
  <c r="G249" i="4"/>
  <c r="G250" i="4"/>
  <c r="G251" i="4"/>
  <c r="G252" i="4"/>
  <c r="G257" i="4"/>
  <c r="G258" i="4"/>
  <c r="G259" i="4"/>
  <c r="G260" i="4"/>
  <c r="G263" i="4"/>
  <c r="G267" i="4"/>
  <c r="G268" i="4"/>
  <c r="G269" i="4"/>
  <c r="G270" i="4"/>
  <c r="G241" i="4"/>
  <c r="G253" i="4"/>
  <c r="G256" i="4"/>
  <c r="G261" i="4"/>
  <c r="G264" i="4"/>
  <c r="G262" i="4"/>
  <c r="F125" i="4"/>
  <c r="E125" i="4"/>
  <c r="G130" i="4"/>
  <c r="G134" i="4"/>
  <c r="G135" i="4"/>
  <c r="G137" i="4"/>
  <c r="G140" i="4"/>
  <c r="G146" i="4"/>
  <c r="G151" i="4"/>
  <c r="G153" i="4"/>
  <c r="G122" i="4"/>
  <c r="F31" i="4"/>
  <c r="E31" i="4"/>
  <c r="F20" i="4"/>
  <c r="E20" i="4"/>
  <c r="F13" i="4"/>
  <c r="E13" i="4"/>
  <c r="F8" i="4"/>
  <c r="E8" i="4"/>
  <c r="G6" i="4"/>
  <c r="G9" i="4"/>
  <c r="G10" i="4"/>
  <c r="G11" i="4"/>
  <c r="G12" i="4"/>
  <c r="G14" i="4"/>
  <c r="G15" i="4"/>
  <c r="G16" i="4"/>
  <c r="G17" i="4"/>
  <c r="G18" i="4"/>
  <c r="G21" i="4"/>
  <c r="G23" i="4"/>
  <c r="G24" i="4"/>
  <c r="G25" i="4"/>
  <c r="G26" i="4"/>
  <c r="G29" i="4"/>
  <c r="G33" i="4"/>
  <c r="G34" i="4"/>
  <c r="G35" i="4"/>
  <c r="G36" i="4"/>
  <c r="G7" i="4"/>
  <c r="G19" i="4"/>
  <c r="G22" i="4"/>
  <c r="G27" i="4"/>
  <c r="G30" i="4"/>
  <c r="G28" i="4"/>
  <c r="G32" i="4"/>
  <c r="J316" i="4"/>
  <c r="B319" i="4"/>
  <c r="C319" i="4"/>
  <c r="D321" i="4"/>
  <c r="D322" i="4"/>
  <c r="B324" i="4"/>
  <c r="C324" i="4"/>
  <c r="D325" i="4"/>
  <c r="D328" i="4"/>
  <c r="D331" i="4"/>
  <c r="D334" i="4"/>
  <c r="D335" i="4"/>
  <c r="D336" i="4"/>
  <c r="D337" i="4"/>
  <c r="D340" i="4"/>
  <c r="B342" i="4"/>
  <c r="C342" i="4"/>
  <c r="D345" i="4"/>
  <c r="D347" i="4"/>
  <c r="D330" i="4"/>
  <c r="D338" i="4"/>
  <c r="I17" i="2" l="1"/>
  <c r="M17" i="2"/>
  <c r="I13" i="2"/>
  <c r="M13" i="2"/>
  <c r="I15" i="2"/>
  <c r="M15" i="2"/>
  <c r="I14" i="2"/>
  <c r="M14" i="2"/>
  <c r="G44" i="5"/>
  <c r="G20" i="4"/>
  <c r="E239" i="4"/>
  <c r="D342" i="4"/>
  <c r="F5" i="4"/>
  <c r="D324" i="4"/>
  <c r="B316" i="4"/>
  <c r="G31" i="4"/>
  <c r="F239" i="4"/>
  <c r="E5" i="4"/>
  <c r="G13" i="4"/>
  <c r="G265" i="4"/>
  <c r="G421" i="4"/>
  <c r="E395" i="4"/>
  <c r="G395" i="4" s="1"/>
  <c r="G5" i="5"/>
  <c r="C316" i="4"/>
  <c r="D319" i="4"/>
  <c r="G254" i="4"/>
  <c r="G242" i="4"/>
  <c r="G125" i="4"/>
  <c r="G8" i="4"/>
  <c r="G239" i="4" l="1"/>
  <c r="D316" i="4"/>
  <c r="G5" i="4"/>
  <c r="D16" i="2"/>
  <c r="I16" i="2" s="1"/>
  <c r="D307" i="4" l="1"/>
  <c r="D302" i="4"/>
  <c r="D299" i="4"/>
  <c r="D298" i="4"/>
  <c r="D297" i="4"/>
  <c r="D284" i="4"/>
  <c r="D283" i="4"/>
  <c r="D149" i="5" l="1"/>
  <c r="D145" i="5"/>
  <c r="D147" i="5"/>
  <c r="D144" i="5"/>
  <c r="D139" i="5"/>
  <c r="D136" i="5"/>
  <c r="D124" i="5"/>
  <c r="D153" i="5"/>
  <c r="D152" i="5"/>
  <c r="D151" i="5"/>
  <c r="D150" i="5"/>
  <c r="C148" i="5"/>
  <c r="B148" i="5"/>
  <c r="D146" i="5"/>
  <c r="D143" i="5"/>
  <c r="D142" i="5"/>
  <c r="D141" i="5"/>
  <c r="D140" i="5"/>
  <c r="D138" i="5"/>
  <c r="C137" i="5"/>
  <c r="B137" i="5"/>
  <c r="D134" i="5"/>
  <c r="D133" i="5"/>
  <c r="D132" i="5"/>
  <c r="D131" i="5"/>
  <c r="C130" i="5"/>
  <c r="B130" i="5"/>
  <c r="D129" i="5"/>
  <c r="D128" i="5"/>
  <c r="D127" i="5"/>
  <c r="D126" i="5"/>
  <c r="C125" i="5"/>
  <c r="B125" i="5"/>
  <c r="D123" i="5"/>
  <c r="J123" i="5"/>
  <c r="J122" i="5"/>
  <c r="D110" i="5"/>
  <c r="D106" i="5"/>
  <c r="D108" i="5"/>
  <c r="D105" i="5"/>
  <c r="D100" i="5"/>
  <c r="D97" i="5"/>
  <c r="D85" i="5"/>
  <c r="D114" i="5"/>
  <c r="D113" i="5"/>
  <c r="D112" i="5"/>
  <c r="D111" i="5"/>
  <c r="C109" i="5"/>
  <c r="B109" i="5"/>
  <c r="D107" i="5"/>
  <c r="D104" i="5"/>
  <c r="D103" i="5"/>
  <c r="D102" i="5"/>
  <c r="D101" i="5"/>
  <c r="D99" i="5"/>
  <c r="C98" i="5"/>
  <c r="B98" i="5"/>
  <c r="D96" i="5"/>
  <c r="D95" i="5"/>
  <c r="D94" i="5"/>
  <c r="D93" i="5"/>
  <c r="D92" i="5"/>
  <c r="C91" i="5"/>
  <c r="B91" i="5"/>
  <c r="D90" i="5"/>
  <c r="D89" i="5"/>
  <c r="D88" i="5"/>
  <c r="D87" i="5"/>
  <c r="C86" i="5"/>
  <c r="B86" i="5"/>
  <c r="D84" i="5"/>
  <c r="J84" i="5"/>
  <c r="J83" i="5"/>
  <c r="D67" i="5"/>
  <c r="D69" i="5"/>
  <c r="D66" i="5"/>
  <c r="D61" i="5"/>
  <c r="D58" i="5"/>
  <c r="D46" i="5"/>
  <c r="D75" i="5"/>
  <c r="D74" i="5"/>
  <c r="D73" i="5"/>
  <c r="D72" i="5"/>
  <c r="C70" i="5"/>
  <c r="B70" i="5"/>
  <c r="D68" i="5"/>
  <c r="D65" i="5"/>
  <c r="D64" i="5"/>
  <c r="D63" i="5"/>
  <c r="D62" i="5"/>
  <c r="C59" i="5"/>
  <c r="B59" i="5"/>
  <c r="D56" i="5"/>
  <c r="D55" i="5"/>
  <c r="D54" i="5"/>
  <c r="D53" i="5"/>
  <c r="C52" i="5"/>
  <c r="B52" i="5"/>
  <c r="D51" i="5"/>
  <c r="D50" i="5"/>
  <c r="D49" i="5"/>
  <c r="D48" i="5"/>
  <c r="C47" i="5"/>
  <c r="B47" i="5"/>
  <c r="J44" i="5"/>
  <c r="D32" i="5"/>
  <c r="D28" i="5"/>
  <c r="D30" i="5"/>
  <c r="D27" i="5"/>
  <c r="D22" i="5"/>
  <c r="D19" i="5"/>
  <c r="D7" i="5"/>
  <c r="D36" i="5"/>
  <c r="D35" i="5"/>
  <c r="D34" i="5"/>
  <c r="D33" i="5"/>
  <c r="C31" i="5"/>
  <c r="B31" i="5"/>
  <c r="D29" i="5"/>
  <c r="D26" i="5"/>
  <c r="D25" i="5"/>
  <c r="D24" i="5"/>
  <c r="D23" i="5"/>
  <c r="D21" i="5"/>
  <c r="C20" i="5"/>
  <c r="B20" i="5"/>
  <c r="D18" i="5"/>
  <c r="D17" i="5"/>
  <c r="D16" i="5"/>
  <c r="D15" i="5"/>
  <c r="D14" i="5"/>
  <c r="C13" i="5"/>
  <c r="B13" i="5"/>
  <c r="D12" i="5"/>
  <c r="D11" i="5"/>
  <c r="D10" i="5"/>
  <c r="D9" i="5"/>
  <c r="C8" i="5"/>
  <c r="B8" i="5"/>
  <c r="D6" i="5"/>
  <c r="J6" i="5"/>
  <c r="J5" i="5"/>
  <c r="D420" i="4"/>
  <c r="D417" i="4"/>
  <c r="D409" i="4"/>
  <c r="D397" i="4"/>
  <c r="D426" i="4"/>
  <c r="D425" i="4"/>
  <c r="D424" i="4"/>
  <c r="C421" i="4"/>
  <c r="B421" i="4"/>
  <c r="D419" i="4"/>
  <c r="D416" i="4"/>
  <c r="D415" i="4"/>
  <c r="D414" i="4"/>
  <c r="D413" i="4"/>
  <c r="C410" i="4"/>
  <c r="B410" i="4"/>
  <c r="D408" i="4"/>
  <c r="D407" i="4"/>
  <c r="D406" i="4"/>
  <c r="D405" i="4"/>
  <c r="D404" i="4"/>
  <c r="D403" i="4"/>
  <c r="D400" i="4"/>
  <c r="D399" i="4"/>
  <c r="D398" i="4"/>
  <c r="D396" i="4"/>
  <c r="J396" i="4"/>
  <c r="J395" i="4"/>
  <c r="D373" i="4"/>
  <c r="D362" i="4"/>
  <c r="D355" i="4"/>
  <c r="J355" i="4"/>
  <c r="J239" i="4"/>
  <c r="J240" i="4"/>
  <c r="D240" i="4"/>
  <c r="J242" i="4"/>
  <c r="B242" i="4"/>
  <c r="C242" i="4"/>
  <c r="J243" i="4"/>
  <c r="D243" i="4"/>
  <c r="J244" i="4"/>
  <c r="D244" i="4"/>
  <c r="D245" i="4"/>
  <c r="D246" i="4"/>
  <c r="D247" i="4"/>
  <c r="D248" i="4"/>
  <c r="D249" i="4"/>
  <c r="D250" i="4"/>
  <c r="D251" i="4"/>
  <c r="D252" i="4"/>
  <c r="B254" i="4"/>
  <c r="C254" i="4"/>
  <c r="D257" i="4"/>
  <c r="D258" i="4"/>
  <c r="D259" i="4"/>
  <c r="D260" i="4"/>
  <c r="D263" i="4"/>
  <c r="B265" i="4"/>
  <c r="C265" i="4"/>
  <c r="D267" i="4"/>
  <c r="D268" i="4"/>
  <c r="D269" i="4"/>
  <c r="D270" i="4"/>
  <c r="D241" i="4"/>
  <c r="D253" i="4"/>
  <c r="D256" i="4"/>
  <c r="D261" i="4"/>
  <c r="D264" i="4"/>
  <c r="D214" i="4"/>
  <c r="D218" i="4"/>
  <c r="C215" i="4"/>
  <c r="C200" i="4" s="1"/>
  <c r="B215" i="4"/>
  <c r="B200" i="4" s="1"/>
  <c r="D213" i="4"/>
  <c r="D212" i="4"/>
  <c r="D211" i="4"/>
  <c r="D208" i="4"/>
  <c r="D207" i="4"/>
  <c r="D206" i="4"/>
  <c r="D203" i="4"/>
  <c r="J200" i="4"/>
  <c r="D186" i="4"/>
  <c r="D183" i="4"/>
  <c r="D175" i="4"/>
  <c r="D190" i="4"/>
  <c r="D187" i="4"/>
  <c r="D182" i="4"/>
  <c r="D179" i="4"/>
  <c r="C176" i="4"/>
  <c r="C161" i="4" s="1"/>
  <c r="B176" i="4"/>
  <c r="B161" i="4" s="1"/>
  <c r="D174" i="4"/>
  <c r="D173" i="4"/>
  <c r="D169" i="4"/>
  <c r="J161" i="4"/>
  <c r="D153" i="4"/>
  <c r="D151" i="4"/>
  <c r="D146" i="4"/>
  <c r="D140" i="4"/>
  <c r="D137" i="4"/>
  <c r="D135" i="4"/>
  <c r="D134" i="4"/>
  <c r="D130" i="4"/>
  <c r="C125" i="4"/>
  <c r="B125" i="4"/>
  <c r="J125" i="4"/>
  <c r="D122" i="4"/>
  <c r="D106" i="4"/>
  <c r="D108" i="4"/>
  <c r="D100" i="4"/>
  <c r="D85" i="4"/>
  <c r="D114" i="4"/>
  <c r="J114" i="4"/>
  <c r="D113" i="4"/>
  <c r="J113" i="4"/>
  <c r="D112" i="4"/>
  <c r="J112" i="4"/>
  <c r="D111" i="4"/>
  <c r="J111" i="4"/>
  <c r="D109" i="4"/>
  <c r="J109" i="4"/>
  <c r="D107" i="4"/>
  <c r="J107" i="4"/>
  <c r="D104" i="4"/>
  <c r="J104" i="4"/>
  <c r="D103" i="4"/>
  <c r="J103" i="4"/>
  <c r="D102" i="4"/>
  <c r="J102" i="4"/>
  <c r="D101" i="4"/>
  <c r="J101" i="4"/>
  <c r="D99" i="4"/>
  <c r="D98" i="4"/>
  <c r="D94" i="4"/>
  <c r="J94" i="4"/>
  <c r="D93" i="4"/>
  <c r="J93" i="4"/>
  <c r="D92" i="4"/>
  <c r="J92" i="4"/>
  <c r="C91" i="4"/>
  <c r="C83" i="4" s="1"/>
  <c r="B91" i="4"/>
  <c r="B83" i="4" s="1"/>
  <c r="J91" i="4"/>
  <c r="D90" i="4"/>
  <c r="J90" i="4"/>
  <c r="D89" i="4"/>
  <c r="J89" i="4"/>
  <c r="D88" i="4"/>
  <c r="J88" i="4"/>
  <c r="D87" i="4"/>
  <c r="J87" i="4"/>
  <c r="D86" i="4"/>
  <c r="J86" i="4"/>
  <c r="J83" i="4"/>
  <c r="D74" i="4"/>
  <c r="D73" i="4"/>
  <c r="D72" i="4"/>
  <c r="C70" i="4"/>
  <c r="B70" i="4"/>
  <c r="D68" i="4"/>
  <c r="D65" i="4"/>
  <c r="D64" i="4"/>
  <c r="D63" i="4"/>
  <c r="D62" i="4"/>
  <c r="D60" i="4"/>
  <c r="C59" i="4"/>
  <c r="B59" i="4"/>
  <c r="D57" i="4"/>
  <c r="D56" i="4"/>
  <c r="D55" i="4"/>
  <c r="D54" i="4"/>
  <c r="D53" i="4"/>
  <c r="C52" i="4"/>
  <c r="B52" i="4"/>
  <c r="D51" i="4"/>
  <c r="D50" i="4"/>
  <c r="D49" i="4"/>
  <c r="D48" i="4"/>
  <c r="C47" i="4"/>
  <c r="B47" i="4"/>
  <c r="D45" i="4"/>
  <c r="D71" i="4"/>
  <c r="D67" i="4"/>
  <c r="D69" i="4"/>
  <c r="D66" i="4"/>
  <c r="D61" i="4"/>
  <c r="D58" i="4"/>
  <c r="D46" i="4"/>
  <c r="D6" i="4"/>
  <c r="D8" i="4"/>
  <c r="D9" i="4"/>
  <c r="D10" i="4"/>
  <c r="D11" i="4"/>
  <c r="D12" i="4"/>
  <c r="D13" i="4"/>
  <c r="D14" i="4"/>
  <c r="D15" i="4"/>
  <c r="D16" i="4"/>
  <c r="D17" i="4"/>
  <c r="D18" i="4"/>
  <c r="D20" i="4"/>
  <c r="D21" i="4"/>
  <c r="D23" i="4"/>
  <c r="D24" i="4"/>
  <c r="D25" i="4"/>
  <c r="D26" i="4"/>
  <c r="D29" i="4"/>
  <c r="D31" i="4"/>
  <c r="D33" i="4"/>
  <c r="D34" i="4"/>
  <c r="D35" i="4"/>
  <c r="D36" i="4"/>
  <c r="D7" i="4"/>
  <c r="D19" i="4"/>
  <c r="D22" i="4"/>
  <c r="D27" i="4"/>
  <c r="D30" i="4"/>
  <c r="D28" i="4"/>
  <c r="D32" i="4"/>
  <c r="C395" i="4" l="1"/>
  <c r="D148" i="5"/>
  <c r="C44" i="5"/>
  <c r="B122" i="5"/>
  <c r="D31" i="5"/>
  <c r="D59" i="5"/>
  <c r="D109" i="5"/>
  <c r="C83" i="5"/>
  <c r="D98" i="5"/>
  <c r="D83" i="4"/>
  <c r="D161" i="4"/>
  <c r="D200" i="4"/>
  <c r="D70" i="5"/>
  <c r="D52" i="5"/>
  <c r="B5" i="5"/>
  <c r="C122" i="5"/>
  <c r="D122" i="5" s="1"/>
  <c r="D8" i="5"/>
  <c r="C5" i="5"/>
  <c r="B44" i="4"/>
  <c r="B395" i="4"/>
  <c r="D395" i="4" s="1"/>
  <c r="B44" i="5"/>
  <c r="D86" i="5"/>
  <c r="B83" i="5"/>
  <c r="D130" i="5"/>
  <c r="C44" i="4"/>
  <c r="C239" i="4"/>
  <c r="B239" i="4"/>
  <c r="D13" i="5"/>
  <c r="D20" i="5"/>
  <c r="D47" i="5"/>
  <c r="D125" i="5"/>
  <c r="D137" i="5"/>
  <c r="D91" i="5"/>
  <c r="D410" i="4"/>
  <c r="D421" i="4"/>
  <c r="D254" i="4"/>
  <c r="D242" i="4"/>
  <c r="D265" i="4"/>
  <c r="D215" i="4"/>
  <c r="D176" i="4"/>
  <c r="D125" i="4"/>
  <c r="D52" i="4"/>
  <c r="D91" i="4"/>
  <c r="D59" i="4"/>
  <c r="D70" i="4"/>
  <c r="D47" i="4"/>
  <c r="D44" i="5" l="1"/>
  <c r="D83" i="5"/>
  <c r="D44" i="4"/>
  <c r="D5" i="5"/>
  <c r="D239" i="4"/>
  <c r="J8" i="4"/>
  <c r="J9" i="4"/>
  <c r="J10" i="4"/>
  <c r="J11" i="4"/>
  <c r="J12" i="4"/>
  <c r="J13" i="4"/>
  <c r="J14" i="4"/>
  <c r="J15" i="4"/>
  <c r="J16" i="4"/>
  <c r="J17" i="4"/>
  <c r="J18" i="4"/>
  <c r="J20" i="4"/>
  <c r="J21" i="4"/>
  <c r="J23" i="4"/>
  <c r="J24" i="4"/>
  <c r="J25" i="4"/>
  <c r="J26" i="4"/>
  <c r="J29" i="4"/>
  <c r="J31" i="4"/>
  <c r="J33" i="4"/>
  <c r="J34" i="4"/>
  <c r="J35" i="4"/>
  <c r="J36" i="4"/>
  <c r="J6" i="4"/>
  <c r="J47" i="4" l="1"/>
  <c r="J45" i="4"/>
  <c r="J48" i="4"/>
  <c r="J49" i="4"/>
  <c r="J50" i="4"/>
  <c r="J51" i="4"/>
  <c r="J52" i="4"/>
  <c r="J53" i="4"/>
  <c r="J54" i="4"/>
  <c r="J55" i="4"/>
  <c r="J56" i="4"/>
  <c r="J57" i="4"/>
  <c r="J59" i="4"/>
  <c r="J60" i="4"/>
  <c r="J62" i="4"/>
  <c r="J63" i="4"/>
  <c r="J64" i="4"/>
  <c r="J65" i="4"/>
  <c r="J68" i="4"/>
  <c r="J70" i="4"/>
  <c r="J72" i="4"/>
  <c r="J73" i="4"/>
  <c r="J74" i="4"/>
  <c r="J5" i="4" l="1"/>
  <c r="J278" i="4"/>
  <c r="D278" i="4" l="1"/>
  <c r="D5" i="4"/>
</calcChain>
</file>

<file path=xl/sharedStrings.xml><?xml version="1.0" encoding="utf-8"?>
<sst xmlns="http://schemas.openxmlformats.org/spreadsheetml/2006/main" count="2334" uniqueCount="115">
  <si>
    <t>Area</t>
  </si>
  <si>
    <t>Name of Crops</t>
  </si>
  <si>
    <t>Yield per Hectare in Kg</t>
  </si>
  <si>
    <t>(Area in 000 hec:) (Production in 000 Tonnes)</t>
  </si>
  <si>
    <t>Kharif Crops</t>
  </si>
  <si>
    <t>Maize</t>
  </si>
  <si>
    <t>Rice</t>
  </si>
  <si>
    <t>Jowar</t>
  </si>
  <si>
    <t>Bajra</t>
  </si>
  <si>
    <t>Sugarcane</t>
  </si>
  <si>
    <t>Cotton</t>
  </si>
  <si>
    <t>Sesamum</t>
  </si>
  <si>
    <t>Rabi Crops</t>
  </si>
  <si>
    <t>Wheat</t>
  </si>
  <si>
    <t>Gram</t>
  </si>
  <si>
    <t>Barley</t>
  </si>
  <si>
    <t>Tobacco</t>
  </si>
  <si>
    <t>Irrigated</t>
  </si>
  <si>
    <t>Un-irrigated</t>
  </si>
  <si>
    <t>Total</t>
  </si>
  <si>
    <t>Ground Nuts</t>
  </si>
  <si>
    <t>Kharif Fruits</t>
  </si>
  <si>
    <t>Kharif Pulses</t>
  </si>
  <si>
    <t>Potato (Spring)</t>
  </si>
  <si>
    <t>Onion</t>
  </si>
  <si>
    <t>Rabi Fruits</t>
  </si>
  <si>
    <t>Rabi Vegetables</t>
  </si>
  <si>
    <t>Produ-ction</t>
  </si>
  <si>
    <t>(Area in 000 Hec: &amp; Production in 000 Tonnes)</t>
  </si>
  <si>
    <t>Rabi Pulses</t>
  </si>
  <si>
    <t>District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</si>
  <si>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</si>
  <si>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</si>
  <si>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</si>
  <si>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</si>
  <si>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</si>
  <si>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</si>
  <si>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</si>
  <si>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</si>
  <si>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</si>
  <si>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</si>
  <si>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</si>
  <si>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</si>
  <si>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</si>
  <si>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</si>
  <si>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</si>
  <si>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</si>
  <si>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</si>
  <si>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</si>
  <si>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</si>
  <si>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</si>
  <si>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</si>
  <si>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</si>
  <si>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% Variation of Yield over preceding year</t>
  </si>
  <si>
    <t>Table No. 16</t>
  </si>
  <si>
    <t>Table No. 17</t>
  </si>
  <si>
    <t>Table No. 18</t>
  </si>
  <si>
    <t>Table No. 19</t>
  </si>
  <si>
    <t>Table No. 20</t>
  </si>
  <si>
    <t>Table No. 21</t>
  </si>
  <si>
    <t>Table No. 22</t>
  </si>
  <si>
    <t>Table No. 23</t>
  </si>
  <si>
    <t>Table No. 24</t>
  </si>
  <si>
    <t>Table No. 14</t>
  </si>
  <si>
    <t>Table No. 15</t>
  </si>
  <si>
    <t>KHARIF CROPS</t>
  </si>
  <si>
    <t>RABI CROPS</t>
  </si>
  <si>
    <t>Table No. 25</t>
  </si>
  <si>
    <t>Khyber
Pakhtunkhwa</t>
  </si>
  <si>
    <t>DISTRICT WISE AREA, PRODUCTION AND YIELD  PER HECTARE OF WHEAT IN  KHYBER PAKHTUNKHWA</t>
  </si>
  <si>
    <t>DISTRICT WISE AREA, PRODUCTION AND YIELD  PER HECTARE OF MAIZE IN  KHYBER PAKHTUNKHWA</t>
  </si>
  <si>
    <t>DISTRICT WISE AREA, PRODUCTION AND YIELD  PER HECTARE OF RICE IN  KHYBER PAKHTUNKHWA</t>
  </si>
  <si>
    <t>DISTRICT WISE AREA, PRODUCTION AND YIELD  PER HECTARE OF GRAM IN  KHYBER PAKHTUNKHWA</t>
  </si>
  <si>
    <t>DISTRICT WISE AREA, PRODUCTION AND YIELD  PER HECTARE OF JOWAR IN  KHYBER PAKHTUNKHWA</t>
  </si>
  <si>
    <t>DISTRICT WISE AREA, PRODUCTION AND YIELD  PER HECTARE OF BAJRA IN  KHYBER PAKHTUNKHWA</t>
  </si>
  <si>
    <t>DISTRICT WISE AREA, PRODUCTION AND YIELD  PER HECTARE OF BARLEY IN  KHYBER PAKHTUNKHWA</t>
  </si>
  <si>
    <t>DISTRICT WISE AREA, PRODUCTION AND YIELD  PER HECTARE OF TOBACCO IN  KHYBER PAKHTUNKHWA</t>
  </si>
  <si>
    <t>DISTRICT WISE AREA, PRODUCTION AND YIELD  PER HECTARE OF SUGARCANE IN  KHYBER PAKHTUNKHWA</t>
  </si>
  <si>
    <t>DISTRICT WISE AREA, PRODUCTION AND YIELD  PER HECTARE OF COTTON IN  KHYBER PAKHTUNKHWA</t>
  </si>
  <si>
    <t>Tor Ghar</t>
  </si>
  <si>
    <t>Dir Lower</t>
  </si>
  <si>
    <t>Dir Upper</t>
  </si>
  <si>
    <t>Source:</t>
  </si>
  <si>
    <t>Table No. 26</t>
  </si>
  <si>
    <t>Table No. 27</t>
  </si>
  <si>
    <t>Table No. 28</t>
  </si>
  <si>
    <t>2017-18</t>
  </si>
  <si>
    <t xml:space="preserve">Khyber
</t>
  </si>
  <si>
    <t>Kurram</t>
  </si>
  <si>
    <t>Mohmand</t>
  </si>
  <si>
    <t>Orakzai</t>
  </si>
  <si>
    <t>N.Waziristan</t>
  </si>
  <si>
    <t>S.Waziristan</t>
  </si>
  <si>
    <r>
      <t>Note:-</t>
    </r>
    <r>
      <rPr>
        <sz val="9"/>
        <rFont val="Arial"/>
        <family val="2"/>
      </rPr>
      <t xml:space="preserve"> Hangu &amp; Dir Lower districts are included in Kohat &amp; Upper Dir districts respectively.</t>
    </r>
  </si>
  <si>
    <t>Bajaur</t>
  </si>
  <si>
    <t>2018-19</t>
  </si>
  <si>
    <t>Production
(Tonnes)</t>
  </si>
  <si>
    <t>Yield per Hectare
(Kg)</t>
  </si>
  <si>
    <t>Area
(Hectare)</t>
  </si>
  <si>
    <r>
      <t>Source:</t>
    </r>
    <r>
      <rPr>
        <sz val="9"/>
        <rFont val="Arial"/>
        <family val="2"/>
      </rPr>
      <t xml:space="preserve"> Directorate of Crop Reporting Services, Khyber Pakhtunkhwa, Peshawar</t>
    </r>
  </si>
  <si>
    <r>
      <rPr>
        <sz val="9"/>
        <rFont val="Arial"/>
        <family val="2"/>
      </rPr>
      <t>1.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Directorate of Crop Reporting Services, Khyber Pakhtunkhwa, Peshawar</t>
    </r>
  </si>
  <si>
    <t>2. Compiled by Bureau of Statistics,Khyber Pakhtunkhwa Peshawar</t>
  </si>
  <si>
    <t>2019-20</t>
  </si>
  <si>
    <t>-</t>
  </si>
  <si>
    <t>Rapeseed &amp; Mustard</t>
  </si>
  <si>
    <t>Kharif Veg.</t>
  </si>
  <si>
    <t>Table No. 29</t>
  </si>
  <si>
    <t>AREA, PRODUCTION, YIELD PER HECTARE AND PERCENTAGE VARIATION OF MAJOR CROPS 
IN KHYBER PAKHTUNKHWA</t>
  </si>
  <si>
    <t>SEASON WISE AREA AND PRODUCTION OF DIFFERENT CROPS IN KHYBER PAKHTUNKHWA, FOR IRRIGATED AND UNIRRIGATED AREA</t>
  </si>
  <si>
    <t>AREA, PRODUCTION AND YIELD PER HECTARE OF RAPESEED &amp; MUSTARD BY  DISTRICTS IN KHYBER PAKHTUNKHWA</t>
  </si>
  <si>
    <t>DISTRICT WISE AREA, PRODUCTION &amp; YIELD PER HECTARE OF RABI VEGETABLES IN KHYBER PAKHTUNKHWA</t>
  </si>
  <si>
    <t>DISTRICT WISE AREA, PRODUCTION &amp; YIELD PER HECTARE OF RABI FRUITS IN KHYBER PAKHTUNKHWA</t>
  </si>
  <si>
    <t>DISTRICT WISE AREA, PRODUCTION &amp; YIELD PER HECTARE OF KHARIF VEGETABLES IN KHYBER PAKHTUNKHWA</t>
  </si>
  <si>
    <t>DISTRICT WISE AREA, PRODUCTION &amp; YIELD PER HECTARE OF KHAIRF FRUITS IN KHYBER PAKHTUNKHWA</t>
  </si>
  <si>
    <t>Table No.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</si>
</sst>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vertical="center"/>
    </xf>
    <xf numFmtId="2" fontId="0" fillId="0" borderId="1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" fillId="0" borderId="0" xfId="0" applyFont="1" applyFill="1"/>
    <xf numFmtId="0" fontId="0" fillId="0" borderId="1" xfId="0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  <xf numFmtId="0" fontId="3" fillId="0" borderId="0" xfId="0" applyFont="1" applyFill="1"/>
    <xf numFmtId="1" fontId="1" fillId="0" borderId="0" xfId="0" applyNumberFormat="1" applyFont="1" applyFill="1"/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indent="4"/>
    </xf>
    <xf numFmtId="0" fontId="1" fillId="0" borderId="2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2" applyBorder="1"/>
    <xf numFmtId="0" fontId="2" fillId="0" borderId="0" xfId="2" applyFont="1" applyBorder="1"/>
    <xf numFmtId="0" fontId="3" fillId="0" borderId="0" xfId="2" applyFont="1" applyBorder="1" applyAlignment="1">
      <alignment horizontal="right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right"/>
    </xf>
    <xf numFmtId="2" fontId="1" fillId="0" borderId="0" xfId="2" applyNumberFormat="1" applyFill="1" applyBorder="1" applyAlignment="1">
      <alignment horizontal="right" vertical="center"/>
    </xf>
    <xf numFmtId="2" fontId="1" fillId="0" borderId="0" xfId="2" applyNumberFormat="1" applyBorder="1" applyAlignment="1">
      <alignment horizontal="right" vertical="center"/>
    </xf>
    <xf numFmtId="0" fontId="1" fillId="0" borderId="0" xfId="2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 applyBorder="1" applyAlignment="1"/>
    <xf numFmtId="0" fontId="1" fillId="0" borderId="1" xfId="2" applyFont="1" applyFill="1" applyBorder="1" applyAlignment="1">
      <alignment vertical="center"/>
    </xf>
    <xf numFmtId="4" fontId="1" fillId="0" borderId="1" xfId="2" applyNumberFormat="1" applyFont="1" applyFill="1" applyBorder="1" applyAlignment="1">
      <alignment horizontal="right" vertical="center"/>
    </xf>
    <xf numFmtId="4" fontId="1" fillId="0" borderId="1" xfId="2" applyNumberFormat="1" applyFont="1" applyFill="1" applyBorder="1"/>
    <xf numFmtId="4" fontId="1" fillId="0" borderId="1" xfId="2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9"/>
  <sheetViews>
    <sheetView view="pageBreakPreview" zoomScaleNormal="130" zoomScaleSheetLayoutView="100" workbookViewId="0">
      <selection activeCell="A236" sqref="A236"/>
    </sheetView>
  </sheetViews>
  <sheetFormatPr defaultRowHeight="12.75" x14ac:dyDescent="0.2"/>
  <cols>
    <col min="1" max="1" width="20.42578125" style="24" customWidth="1"/>
    <col min="2" max="2" width="7.28515625" style="24" customWidth="1"/>
    <col min="3" max="3" width="7.5703125" style="24" bestFit="1" customWidth="1"/>
    <col min="4" max="4" width="10.28515625" style="24" bestFit="1" customWidth="1"/>
    <col min="5" max="5" width="11.7109375" style="24" customWidth="1"/>
    <col min="6" max="7" width="8" style="24" customWidth="1"/>
    <col min="8" max="8" width="10.28515625" style="24" bestFit="1" customWidth="1"/>
    <col min="9" max="9" width="11.7109375" style="24" customWidth="1"/>
    <col min="10" max="10" width="7.140625" style="24" customWidth="1"/>
    <col min="11" max="11" width="7.7109375" style="24" customWidth="1"/>
    <col min="12" max="12" width="10.28515625" style="24" customWidth="1"/>
    <col min="13" max="13" width="11.7109375" style="24" customWidth="1"/>
    <col min="14" max="16384" width="9.140625" style="24"/>
  </cols>
  <sheetData>
    <row r="1" spans="1:13" ht="60" customHeight="1" x14ac:dyDescent="0.2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25" customFormat="1" ht="12.75" customHeight="1" x14ac:dyDescent="0.2">
      <c r="A2" s="25" t="s">
        <v>114</v>
      </c>
      <c r="F2" s="5"/>
      <c r="G2" s="5"/>
      <c r="H2" s="5"/>
      <c r="M2" s="5" t="s">
        <v>3</v>
      </c>
    </row>
    <row r="3" spans="1:13" ht="20.100000000000001" customHeight="1" x14ac:dyDescent="0.2">
      <c r="A3" s="66" t="s">
        <v>1</v>
      </c>
      <c r="B3" s="66" t="s">
        <v>86</v>
      </c>
      <c r="C3" s="66"/>
      <c r="D3" s="66"/>
      <c r="E3" s="66"/>
      <c r="F3" s="66" t="s">
        <v>95</v>
      </c>
      <c r="G3" s="66"/>
      <c r="H3" s="66"/>
      <c r="I3" s="66"/>
      <c r="J3" s="66" t="s">
        <v>102</v>
      </c>
      <c r="K3" s="66"/>
      <c r="L3" s="66"/>
      <c r="M3" s="66"/>
    </row>
    <row r="4" spans="1:13" ht="63.75" x14ac:dyDescent="0.2">
      <c r="A4" s="66"/>
      <c r="B4" s="23" t="s">
        <v>0</v>
      </c>
      <c r="C4" s="23" t="s">
        <v>27</v>
      </c>
      <c r="D4" s="23" t="s">
        <v>2</v>
      </c>
      <c r="E4" s="23" t="s">
        <v>53</v>
      </c>
      <c r="F4" s="23" t="s">
        <v>0</v>
      </c>
      <c r="G4" s="23" t="s">
        <v>27</v>
      </c>
      <c r="H4" s="23" t="s">
        <v>2</v>
      </c>
      <c r="I4" s="23" t="s">
        <v>53</v>
      </c>
      <c r="J4" s="23" t="s">
        <v>0</v>
      </c>
      <c r="K4" s="23" t="s">
        <v>27</v>
      </c>
      <c r="L4" s="23" t="s">
        <v>2</v>
      </c>
      <c r="M4" s="23" t="s">
        <v>53</v>
      </c>
    </row>
    <row r="5" spans="1:13" s="59" customFormat="1" ht="20.100000000000001" customHeight="1" x14ac:dyDescent="0.2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59" customFormat="1" ht="20.100000000000001" customHeight="1" x14ac:dyDescent="0.2">
      <c r="A6" s="3" t="s">
        <v>8</v>
      </c>
      <c r="B6" s="12">
        <v>2.89</v>
      </c>
      <c r="C6" s="12">
        <v>1.42</v>
      </c>
      <c r="D6" s="7">
        <v>491.34948096885813</v>
      </c>
      <c r="E6" s="12">
        <v>-12.48</v>
      </c>
      <c r="F6" s="27">
        <v>3</v>
      </c>
      <c r="G6" s="27">
        <v>1.88</v>
      </c>
      <c r="H6" s="28">
        <f>G6/F6*1000</f>
        <v>626.66666666666663</v>
      </c>
      <c r="I6" s="27">
        <f>(H6-D6)/D6*100</f>
        <v>27.539906103286377</v>
      </c>
      <c r="J6" s="10">
        <v>3.04</v>
      </c>
      <c r="K6" s="10">
        <v>1.85</v>
      </c>
      <c r="L6" s="11">
        <f>K6/J6*1000</f>
        <v>608.5526315789474</v>
      </c>
      <c r="M6" s="2">
        <f>(L6-H6)/H6*100</f>
        <v>-2.8905375139977494</v>
      </c>
    </row>
    <row r="7" spans="1:13" s="59" customFormat="1" ht="20.100000000000001" customHeight="1" x14ac:dyDescent="0.2">
      <c r="A7" s="3" t="s">
        <v>10</v>
      </c>
      <c r="B7" s="12">
        <v>0.17</v>
      </c>
      <c r="C7" s="12">
        <v>0.09</v>
      </c>
      <c r="D7" s="7">
        <v>529.41176470588221</v>
      </c>
      <c r="E7" s="12">
        <v>5.8823529411764417</v>
      </c>
      <c r="F7" s="27">
        <v>0.16</v>
      </c>
      <c r="G7" s="27">
        <v>0.08</v>
      </c>
      <c r="H7" s="28">
        <f t="shared" ref="H7:H11" si="0">G7/F7*1000</f>
        <v>500</v>
      </c>
      <c r="I7" s="27">
        <f t="shared" ref="I7:I11" si="1">(H7-D7)/D7*100</f>
        <v>-5.5555555555555296</v>
      </c>
      <c r="J7" s="10">
        <v>0.21</v>
      </c>
      <c r="K7" s="10">
        <v>0.11</v>
      </c>
      <c r="L7" s="11">
        <f t="shared" ref="L7:L11" si="2">K7/J7*1000</f>
        <v>523.80952380952385</v>
      </c>
      <c r="M7" s="2">
        <f t="shared" ref="M7:M11" si="3">(L7-H7)/H7*100</f>
        <v>4.7619047619047707</v>
      </c>
    </row>
    <row r="8" spans="1:13" s="59" customFormat="1" ht="20.100000000000001" customHeight="1" x14ac:dyDescent="0.2">
      <c r="A8" s="3" t="s">
        <v>7</v>
      </c>
      <c r="B8" s="12">
        <v>4.5599999999999996</v>
      </c>
      <c r="C8" s="12">
        <v>2.84</v>
      </c>
      <c r="D8" s="7">
        <v>622.80701754385973</v>
      </c>
      <c r="E8" s="12">
        <v>7.97</v>
      </c>
      <c r="F8" s="27">
        <v>5.53</v>
      </c>
      <c r="G8" s="27">
        <v>3.45</v>
      </c>
      <c r="H8" s="28">
        <f t="shared" si="0"/>
        <v>623.86980108499097</v>
      </c>
      <c r="I8" s="27">
        <f t="shared" si="1"/>
        <v>0.17064411787177639</v>
      </c>
      <c r="J8" s="10">
        <v>5.52</v>
      </c>
      <c r="K8" s="10">
        <v>3.51</v>
      </c>
      <c r="L8" s="11">
        <f t="shared" si="2"/>
        <v>635.86956521739137</v>
      </c>
      <c r="M8" s="2">
        <f t="shared" si="3"/>
        <v>1.9234404536862093</v>
      </c>
    </row>
    <row r="9" spans="1:13" s="59" customFormat="1" ht="20.100000000000001" customHeight="1" x14ac:dyDescent="0.2">
      <c r="A9" s="3" t="s">
        <v>5</v>
      </c>
      <c r="B9" s="12">
        <v>450.68</v>
      </c>
      <c r="C9" s="12">
        <v>841.56</v>
      </c>
      <c r="D9" s="7">
        <v>1867.3116179994672</v>
      </c>
      <c r="E9" s="12">
        <v>-2.6011157299714229</v>
      </c>
      <c r="F9" s="27">
        <v>467.98</v>
      </c>
      <c r="G9" s="27">
        <v>904.55</v>
      </c>
      <c r="H9" s="28">
        <f t="shared" si="0"/>
        <v>1932.8817470832084</v>
      </c>
      <c r="I9" s="27">
        <f t="shared" si="1"/>
        <v>3.5114722391107587</v>
      </c>
      <c r="J9" s="10">
        <v>452.62</v>
      </c>
      <c r="K9" s="10">
        <v>881.62</v>
      </c>
      <c r="L9" s="11">
        <f t="shared" si="2"/>
        <v>1947.8149441032213</v>
      </c>
      <c r="M9" s="2">
        <f t="shared" si="3"/>
        <v>0.7725872026339724</v>
      </c>
    </row>
    <row r="10" spans="1:13" s="59" customFormat="1" ht="20.100000000000001" customHeight="1" x14ac:dyDescent="0.2">
      <c r="A10" s="3" t="s">
        <v>6</v>
      </c>
      <c r="B10" s="12">
        <v>50.57</v>
      </c>
      <c r="C10" s="12">
        <v>118.61</v>
      </c>
      <c r="D10" s="7">
        <v>2345.4617362072377</v>
      </c>
      <c r="E10" s="12">
        <v>1.4351564261873613</v>
      </c>
      <c r="F10" s="27">
        <v>62.29</v>
      </c>
      <c r="G10" s="27">
        <v>153.77000000000001</v>
      </c>
      <c r="H10" s="28">
        <f t="shared" si="0"/>
        <v>2468.6145448707657</v>
      </c>
      <c r="I10" s="27">
        <f t="shared" si="1"/>
        <v>5.2506850468886377</v>
      </c>
      <c r="J10" s="10">
        <v>64.89</v>
      </c>
      <c r="K10" s="10">
        <v>158.49</v>
      </c>
      <c r="L10" s="11">
        <f t="shared" si="2"/>
        <v>2442.4410540915396</v>
      </c>
      <c r="M10" s="2">
        <f t="shared" si="3"/>
        <v>-1.0602502052663021</v>
      </c>
    </row>
    <row r="11" spans="1:13" s="59" customFormat="1" ht="20.100000000000001" customHeight="1" x14ac:dyDescent="0.2">
      <c r="A11" s="3" t="s">
        <v>9</v>
      </c>
      <c r="B11" s="12">
        <v>147.47</v>
      </c>
      <c r="C11" s="12">
        <v>7585.93</v>
      </c>
      <c r="D11" s="7">
        <v>51440.496372143491</v>
      </c>
      <c r="E11" s="12">
        <v>7.8725891850630951</v>
      </c>
      <c r="F11" s="27">
        <v>110.99</v>
      </c>
      <c r="G11" s="27">
        <v>5532.01</v>
      </c>
      <c r="H11" s="28">
        <f t="shared" si="0"/>
        <v>49842.418235877114</v>
      </c>
      <c r="I11" s="27">
        <f t="shared" si="1"/>
        <v>-3.106653801909621</v>
      </c>
      <c r="J11" s="10">
        <v>109.36</v>
      </c>
      <c r="K11" s="10">
        <v>5753.96</v>
      </c>
      <c r="L11" s="11">
        <f t="shared" si="2"/>
        <v>52614.850036576441</v>
      </c>
      <c r="M11" s="2">
        <f t="shared" si="3"/>
        <v>5.5623942393382926</v>
      </c>
    </row>
    <row r="12" spans="1:13" s="59" customFormat="1" ht="20.100000000000001" customHeight="1" x14ac:dyDescent="0.2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59" customFormat="1" ht="20.100000000000001" customHeight="1" x14ac:dyDescent="0.2">
      <c r="A13" s="3" t="s">
        <v>15</v>
      </c>
      <c r="B13" s="12">
        <v>19.350000000000001</v>
      </c>
      <c r="C13" s="12">
        <v>17.95</v>
      </c>
      <c r="D13" s="7">
        <v>927.64857881136936</v>
      </c>
      <c r="E13" s="12">
        <v>-9.4600000000000009</v>
      </c>
      <c r="F13" s="29">
        <v>21.12</v>
      </c>
      <c r="G13" s="29">
        <v>20.07</v>
      </c>
      <c r="H13" s="28">
        <f>G13/F13*1000</f>
        <v>950.28409090909088</v>
      </c>
      <c r="I13" s="27">
        <f>(H13-D13)/D13*100</f>
        <v>2.4400955938212334</v>
      </c>
      <c r="J13" s="10">
        <v>20.99</v>
      </c>
      <c r="K13" s="10">
        <v>18.57</v>
      </c>
      <c r="L13" s="11">
        <f>K13/J13*1000</f>
        <v>884.70700333492152</v>
      </c>
      <c r="M13" s="2">
        <f>(L13-H13)/H13*100</f>
        <v>-6.9007876909140844</v>
      </c>
    </row>
    <row r="14" spans="1:13" s="59" customFormat="1" ht="20.100000000000001" customHeight="1" x14ac:dyDescent="0.2">
      <c r="A14" s="3" t="s">
        <v>14</v>
      </c>
      <c r="B14" s="12">
        <v>27.03</v>
      </c>
      <c r="C14" s="12">
        <v>12.37</v>
      </c>
      <c r="D14" s="7">
        <v>457.63965963743988</v>
      </c>
      <c r="E14" s="12">
        <v>-10.37</v>
      </c>
      <c r="F14" s="29">
        <v>29.01</v>
      </c>
      <c r="G14" s="29">
        <v>18.66</v>
      </c>
      <c r="H14" s="28">
        <f t="shared" ref="H14:H16" si="4">G14/F14*1000</f>
        <v>643.22647362978284</v>
      </c>
      <c r="I14" s="27">
        <f t="shared" ref="I14:I17" si="5">(H14-D14)/D14*100</f>
        <v>40.553044318617872</v>
      </c>
      <c r="J14" s="10">
        <v>33.700000000000003</v>
      </c>
      <c r="K14" s="10">
        <v>15.05</v>
      </c>
      <c r="L14" s="11">
        <f t="shared" ref="L14:L17" si="6">K14/J14*1000</f>
        <v>446.58753709198811</v>
      </c>
      <c r="M14" s="2">
        <f t="shared" ref="M14:M17" si="7">(L14-H14)/H14*100</f>
        <v>-30.570715696470657</v>
      </c>
    </row>
    <row r="15" spans="1:13" s="59" customFormat="1" ht="20.100000000000001" customHeight="1" x14ac:dyDescent="0.2">
      <c r="A15" s="3" t="s">
        <v>104</v>
      </c>
      <c r="B15" s="12">
        <v>10.9</v>
      </c>
      <c r="C15" s="12">
        <v>4.96</v>
      </c>
      <c r="D15" s="7">
        <v>455.04587155963299</v>
      </c>
      <c r="E15" s="12">
        <v>-10.26</v>
      </c>
      <c r="F15" s="29">
        <v>12</v>
      </c>
      <c r="G15" s="29">
        <v>5.72</v>
      </c>
      <c r="H15" s="28">
        <f t="shared" si="4"/>
        <v>476.66666666666663</v>
      </c>
      <c r="I15" s="27">
        <f t="shared" si="5"/>
        <v>4.7513440860215068</v>
      </c>
      <c r="J15" s="10">
        <v>13.02</v>
      </c>
      <c r="K15" s="10">
        <v>6.41</v>
      </c>
      <c r="L15" s="11">
        <f t="shared" si="6"/>
        <v>492.31950844854072</v>
      </c>
      <c r="M15" s="2">
        <f t="shared" si="7"/>
        <v>3.2838129612323264</v>
      </c>
    </row>
    <row r="16" spans="1:13" s="59" customFormat="1" ht="20.100000000000001" customHeight="1" x14ac:dyDescent="0.2">
      <c r="A16" s="3" t="s">
        <v>16</v>
      </c>
      <c r="B16" s="12">
        <v>25.45</v>
      </c>
      <c r="C16" s="12">
        <v>71.11</v>
      </c>
      <c r="D16" s="7">
        <f>C16/B16*1000</f>
        <v>2794.1060903732809</v>
      </c>
      <c r="E16" s="12">
        <v>14.6</v>
      </c>
      <c r="F16" s="29">
        <v>24.87</v>
      </c>
      <c r="G16" s="29">
        <v>68.010000000000005</v>
      </c>
      <c r="H16" s="28">
        <f t="shared" si="4"/>
        <v>2734.6200241254523</v>
      </c>
      <c r="I16" s="27">
        <f t="shared" si="5"/>
        <v>-2.1289838081946812</v>
      </c>
      <c r="J16" s="56">
        <v>28.09</v>
      </c>
      <c r="K16" s="56">
        <v>71.38</v>
      </c>
      <c r="L16" s="11">
        <f t="shared" si="6"/>
        <v>2541.1178355286575</v>
      </c>
      <c r="M16" s="2">
        <f t="shared" si="7"/>
        <v>-7.0760173950923235</v>
      </c>
    </row>
    <row r="17" spans="1:13" s="59" customFormat="1" ht="20.100000000000001" customHeight="1" x14ac:dyDescent="0.2">
      <c r="A17" s="3" t="s">
        <v>13</v>
      </c>
      <c r="B17" s="12">
        <v>753.37</v>
      </c>
      <c r="C17" s="12">
        <v>1322.69</v>
      </c>
      <c r="D17" s="7">
        <v>1755.6977315263418</v>
      </c>
      <c r="E17" s="12">
        <v>-8.68</v>
      </c>
      <c r="F17" s="29">
        <v>739.57</v>
      </c>
      <c r="G17" s="29">
        <v>1327.58</v>
      </c>
      <c r="H17" s="28">
        <f>G17/F17*1000</f>
        <v>1795.0701083061776</v>
      </c>
      <c r="I17" s="27">
        <f t="shared" si="5"/>
        <v>2.2425487071517058</v>
      </c>
      <c r="J17" s="10">
        <v>727.28</v>
      </c>
      <c r="K17" s="10">
        <v>1130.3599999999999</v>
      </c>
      <c r="L17" s="11">
        <f t="shared" si="6"/>
        <v>1554.2294577054226</v>
      </c>
      <c r="M17" s="2">
        <f t="shared" si="7"/>
        <v>-13.41678241347417</v>
      </c>
    </row>
    <row r="19" spans="1:13" s="25" customFormat="1" ht="12" x14ac:dyDescent="0.2">
      <c r="F19" s="5"/>
      <c r="G19" s="5"/>
      <c r="H19" s="5"/>
      <c r="M19" s="26" t="s">
        <v>99</v>
      </c>
    </row>
  </sheetData>
  <mergeCells count="7">
    <mergeCell ref="A12:M12"/>
    <mergeCell ref="A5:M5"/>
    <mergeCell ref="A3:A4"/>
    <mergeCell ref="A1:M1"/>
    <mergeCell ref="F3:I3"/>
    <mergeCell ref="J3:M3"/>
    <mergeCell ref="B3:E3"/>
  </mergeCells>
  <phoneticPr fontId="0" type="noConversion"/>
  <printOptions horizontalCentered="1"/>
  <pageMargins left="0.74803149606299202" right="0.74803149606299202" top="0.98425196850393704" bottom="0.78740157480314998" header="0.511811023622047" footer="0.511811023622047"/>
  <pageSetup paperSize="9" firstPageNumber="14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0"/>
  <sheetViews>
    <sheetView view="pageBreakPreview" zoomScaleNormal="110" zoomScaleSheetLayoutView="100" workbookViewId="0">
      <selection activeCell="A236" sqref="A236"/>
    </sheetView>
  </sheetViews>
  <sheetFormatPr defaultRowHeight="12.75" x14ac:dyDescent="0.2"/>
  <cols>
    <col min="1" max="1" width="12.85546875" style="38" customWidth="1"/>
    <col min="2" max="2" width="6.5703125" style="38" bestFit="1" customWidth="1"/>
    <col min="3" max="3" width="8.140625" style="38" bestFit="1" customWidth="1"/>
    <col min="4" max="4" width="7.140625" style="38" bestFit="1" customWidth="1"/>
    <col min="5" max="5" width="8.140625" style="38" bestFit="1" customWidth="1"/>
    <col min="6" max="6" width="6.7109375" style="38" bestFit="1" customWidth="1"/>
    <col min="7" max="7" width="7" style="38" bestFit="1" customWidth="1"/>
    <col min="8" max="8" width="6.5703125" style="38" bestFit="1" customWidth="1"/>
    <col min="9" max="9" width="8.140625" style="38" bestFit="1" customWidth="1"/>
    <col min="10" max="10" width="6.5703125" style="38" bestFit="1" customWidth="1"/>
    <col min="11" max="11" width="8.140625" style="38" bestFit="1" customWidth="1"/>
    <col min="12" max="13" width="6.5703125" style="38" customWidth="1"/>
    <col min="14" max="14" width="6.5703125" style="38" bestFit="1" customWidth="1"/>
    <col min="15" max="15" width="8.140625" style="38" bestFit="1" customWidth="1"/>
    <col min="16" max="16" width="7" style="38" customWidth="1"/>
    <col min="17" max="17" width="8.140625" style="38" bestFit="1" customWidth="1"/>
    <col min="18" max="18" width="6.5703125" style="38" bestFit="1" customWidth="1"/>
    <col min="19" max="19" width="6.5703125" style="38" customWidth="1"/>
    <col min="20" max="16384" width="9.140625" style="38"/>
  </cols>
  <sheetData>
    <row r="1" spans="1:19" ht="60" customHeight="1" x14ac:dyDescent="0.2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39" customFormat="1" ht="12" x14ac:dyDescent="0.2">
      <c r="A2" s="39" t="s">
        <v>63</v>
      </c>
      <c r="H2" s="47"/>
      <c r="I2" s="47"/>
      <c r="J2" s="47"/>
      <c r="K2" s="47"/>
      <c r="L2" s="47"/>
      <c r="M2" s="47"/>
      <c r="S2" s="42" t="s">
        <v>28</v>
      </c>
    </row>
    <row r="3" spans="1:19" ht="17.100000000000001" customHeight="1" x14ac:dyDescent="0.2">
      <c r="A3" s="70" t="s">
        <v>1</v>
      </c>
      <c r="B3" s="70" t="s">
        <v>86</v>
      </c>
      <c r="C3" s="70"/>
      <c r="D3" s="70"/>
      <c r="E3" s="70"/>
      <c r="F3" s="70"/>
      <c r="G3" s="70"/>
      <c r="H3" s="70" t="s">
        <v>95</v>
      </c>
      <c r="I3" s="70"/>
      <c r="J3" s="70"/>
      <c r="K3" s="70"/>
      <c r="L3" s="70"/>
      <c r="M3" s="70"/>
      <c r="N3" s="70" t="s">
        <v>102</v>
      </c>
      <c r="O3" s="70"/>
      <c r="P3" s="70"/>
      <c r="Q3" s="70"/>
      <c r="R3" s="70"/>
      <c r="S3" s="70"/>
    </row>
    <row r="4" spans="1:19" ht="17.100000000000001" customHeight="1" x14ac:dyDescent="0.2">
      <c r="A4" s="70"/>
      <c r="B4" s="70" t="s">
        <v>19</v>
      </c>
      <c r="C4" s="70"/>
      <c r="D4" s="70" t="s">
        <v>17</v>
      </c>
      <c r="E4" s="70"/>
      <c r="F4" s="70" t="s">
        <v>18</v>
      </c>
      <c r="G4" s="70"/>
      <c r="H4" s="70" t="s">
        <v>19</v>
      </c>
      <c r="I4" s="70"/>
      <c r="J4" s="70" t="s">
        <v>17</v>
      </c>
      <c r="K4" s="70"/>
      <c r="L4" s="70" t="s">
        <v>18</v>
      </c>
      <c r="M4" s="70"/>
      <c r="N4" s="70" t="s">
        <v>19</v>
      </c>
      <c r="O4" s="70"/>
      <c r="P4" s="70" t="s">
        <v>17</v>
      </c>
      <c r="Q4" s="70"/>
      <c r="R4" s="70" t="s">
        <v>18</v>
      </c>
      <c r="S4" s="70"/>
    </row>
    <row r="5" spans="1:19" ht="26.1" customHeight="1" x14ac:dyDescent="0.2">
      <c r="A5" s="70"/>
      <c r="B5" s="46" t="s">
        <v>0</v>
      </c>
      <c r="C5" s="46" t="s">
        <v>27</v>
      </c>
      <c r="D5" s="46" t="s">
        <v>0</v>
      </c>
      <c r="E5" s="46" t="s">
        <v>27</v>
      </c>
      <c r="F5" s="46" t="s">
        <v>0</v>
      </c>
      <c r="G5" s="46" t="s">
        <v>27</v>
      </c>
      <c r="H5" s="46" t="s">
        <v>0</v>
      </c>
      <c r="I5" s="46" t="s">
        <v>27</v>
      </c>
      <c r="J5" s="46" t="s">
        <v>0</v>
      </c>
      <c r="K5" s="46" t="s">
        <v>27</v>
      </c>
      <c r="L5" s="46" t="s">
        <v>0</v>
      </c>
      <c r="M5" s="46" t="s">
        <v>27</v>
      </c>
      <c r="N5" s="46" t="s">
        <v>0</v>
      </c>
      <c r="O5" s="46" t="s">
        <v>27</v>
      </c>
      <c r="P5" s="46" t="s">
        <v>0</v>
      </c>
      <c r="Q5" s="46" t="s">
        <v>27</v>
      </c>
      <c r="R5" s="46" t="s">
        <v>0</v>
      </c>
      <c r="S5" s="46" t="s">
        <v>27</v>
      </c>
    </row>
    <row r="6" spans="1:19" ht="16.5" customHeight="1" x14ac:dyDescent="0.2">
      <c r="A6" s="71" t="s">
        <v>65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6.5" customHeight="1" x14ac:dyDescent="0.2">
      <c r="A7" s="48" t="s">
        <v>8</v>
      </c>
      <c r="B7" s="49">
        <f t="shared" ref="B7:C17" si="0">SUM(D7,F7)</f>
        <v>3.1799999999999997</v>
      </c>
      <c r="C7" s="49">
        <f t="shared" si="0"/>
        <v>1.82</v>
      </c>
      <c r="D7" s="49">
        <v>1.42</v>
      </c>
      <c r="E7" s="49">
        <v>0.96</v>
      </c>
      <c r="F7" s="49">
        <v>1.76</v>
      </c>
      <c r="G7" s="49">
        <v>0.8600000000000001</v>
      </c>
      <c r="H7" s="50">
        <f>J7+L7</f>
        <v>3</v>
      </c>
      <c r="I7" s="50">
        <f>K7+M7</f>
        <v>1.88</v>
      </c>
      <c r="J7" s="50">
        <v>1.0900000000000001</v>
      </c>
      <c r="K7" s="50">
        <v>0.86</v>
      </c>
      <c r="L7" s="50">
        <v>1.91</v>
      </c>
      <c r="M7" s="50">
        <v>1.02</v>
      </c>
      <c r="N7" s="51">
        <f>P7+R7</f>
        <v>3.0300000000000002</v>
      </c>
      <c r="O7" s="51">
        <f>Q7+S7</f>
        <v>1.8599999999999999</v>
      </c>
      <c r="P7" s="51">
        <v>1.27</v>
      </c>
      <c r="Q7" s="51">
        <v>0.9</v>
      </c>
      <c r="R7" s="51">
        <v>1.76</v>
      </c>
      <c r="S7" s="51">
        <v>0.96</v>
      </c>
    </row>
    <row r="8" spans="1:19" ht="16.5" customHeight="1" x14ac:dyDescent="0.2">
      <c r="A8" s="48" t="s">
        <v>10</v>
      </c>
      <c r="B8" s="49">
        <f t="shared" si="0"/>
        <v>0.17</v>
      </c>
      <c r="C8" s="49">
        <f t="shared" si="0"/>
        <v>0.09</v>
      </c>
      <c r="D8" s="49">
        <v>0.17</v>
      </c>
      <c r="E8" s="49">
        <v>0.09</v>
      </c>
      <c r="F8" s="49">
        <v>0</v>
      </c>
      <c r="G8" s="49">
        <v>0</v>
      </c>
      <c r="H8" s="50">
        <f t="shared" ref="H8:I17" si="1">J8+L8</f>
        <v>0.16</v>
      </c>
      <c r="I8" s="50">
        <f t="shared" si="1"/>
        <v>0.08</v>
      </c>
      <c r="J8" s="50">
        <v>0.16</v>
      </c>
      <c r="K8" s="50">
        <v>0.08</v>
      </c>
      <c r="L8" s="50">
        <v>0</v>
      </c>
      <c r="M8" s="50">
        <v>0</v>
      </c>
      <c r="N8" s="51">
        <f t="shared" ref="N8:N17" si="2">P8+R8</f>
        <v>0.21</v>
      </c>
      <c r="O8" s="51">
        <f t="shared" ref="O8:O17" si="3">Q8+S8</f>
        <v>0.11</v>
      </c>
      <c r="P8" s="51">
        <v>0.21</v>
      </c>
      <c r="Q8" s="51">
        <v>0.11</v>
      </c>
      <c r="R8" s="51">
        <v>0</v>
      </c>
      <c r="S8" s="51">
        <v>0</v>
      </c>
    </row>
    <row r="9" spans="1:19" ht="16.5" customHeight="1" x14ac:dyDescent="0.2">
      <c r="A9" s="48" t="s">
        <v>20</v>
      </c>
      <c r="B9" s="49">
        <f t="shared" si="0"/>
        <v>5.69</v>
      </c>
      <c r="C9" s="49">
        <f t="shared" si="0"/>
        <v>6.15</v>
      </c>
      <c r="D9" s="49">
        <v>1.07</v>
      </c>
      <c r="E9" s="49">
        <v>1.86</v>
      </c>
      <c r="F9" s="49">
        <v>4.62</v>
      </c>
      <c r="G9" s="49">
        <v>4.29</v>
      </c>
      <c r="H9" s="50">
        <f t="shared" si="1"/>
        <v>5.1099999999999994</v>
      </c>
      <c r="I9" s="50">
        <f t="shared" si="1"/>
        <v>5.41</v>
      </c>
      <c r="J9" s="50">
        <v>1.06</v>
      </c>
      <c r="K9" s="50">
        <v>1.98</v>
      </c>
      <c r="L9" s="50">
        <v>4.05</v>
      </c>
      <c r="M9" s="50">
        <v>3.43</v>
      </c>
      <c r="N9" s="51">
        <f t="shared" si="2"/>
        <v>6.5200000000000005</v>
      </c>
      <c r="O9" s="51">
        <f t="shared" si="3"/>
        <v>6.8999999999999995</v>
      </c>
      <c r="P9" s="51">
        <v>0.95</v>
      </c>
      <c r="Q9" s="51">
        <v>1.76</v>
      </c>
      <c r="R9" s="51">
        <v>5.57</v>
      </c>
      <c r="S9" s="51">
        <v>5.14</v>
      </c>
    </row>
    <row r="10" spans="1:19" ht="16.5" customHeight="1" x14ac:dyDescent="0.2">
      <c r="A10" s="48" t="s">
        <v>7</v>
      </c>
      <c r="B10" s="49">
        <f t="shared" si="0"/>
        <v>5.51</v>
      </c>
      <c r="C10" s="49">
        <f t="shared" si="0"/>
        <v>3.41</v>
      </c>
      <c r="D10" s="49">
        <v>3.0199999999999996</v>
      </c>
      <c r="E10" s="49">
        <v>1.8299999999999998</v>
      </c>
      <c r="F10" s="49">
        <v>2.4900000000000002</v>
      </c>
      <c r="G10" s="49">
        <v>1.58</v>
      </c>
      <c r="H10" s="50">
        <f t="shared" si="1"/>
        <v>5.5299999999999994</v>
      </c>
      <c r="I10" s="50">
        <f t="shared" si="1"/>
        <v>3.45</v>
      </c>
      <c r="J10" s="50">
        <v>3.63</v>
      </c>
      <c r="K10" s="50">
        <v>2.38</v>
      </c>
      <c r="L10" s="50">
        <v>1.9</v>
      </c>
      <c r="M10" s="50">
        <v>1.07</v>
      </c>
      <c r="N10" s="51">
        <f t="shared" si="2"/>
        <v>5.52</v>
      </c>
      <c r="O10" s="51">
        <f t="shared" si="3"/>
        <v>3.5100000000000002</v>
      </c>
      <c r="P10" s="51">
        <v>3.78</v>
      </c>
      <c r="Q10" s="51">
        <v>2.4900000000000002</v>
      </c>
      <c r="R10" s="51">
        <v>1.74</v>
      </c>
      <c r="S10" s="51">
        <v>1.02</v>
      </c>
    </row>
    <row r="11" spans="1:19" ht="16.5" customHeight="1" x14ac:dyDescent="0.2">
      <c r="A11" s="48" t="s">
        <v>21</v>
      </c>
      <c r="B11" s="49">
        <f t="shared" si="0"/>
        <v>36.979999999999997</v>
      </c>
      <c r="C11" s="49">
        <f t="shared" si="0"/>
        <v>321.57</v>
      </c>
      <c r="D11" s="49">
        <v>36.979999999999997</v>
      </c>
      <c r="E11" s="49">
        <v>321.57</v>
      </c>
      <c r="F11" s="49">
        <v>0</v>
      </c>
      <c r="G11" s="49">
        <v>0</v>
      </c>
      <c r="H11" s="50">
        <f t="shared" si="1"/>
        <v>36.26</v>
      </c>
      <c r="I11" s="50">
        <f t="shared" si="1"/>
        <v>326.29000000000002</v>
      </c>
      <c r="J11" s="50">
        <v>36.26</v>
      </c>
      <c r="K11" s="50">
        <v>326.29000000000002</v>
      </c>
      <c r="L11" s="50">
        <v>0</v>
      </c>
      <c r="M11" s="50">
        <v>0</v>
      </c>
      <c r="N11" s="51">
        <f t="shared" si="2"/>
        <v>36.049999999999997</v>
      </c>
      <c r="O11" s="51">
        <f t="shared" si="3"/>
        <v>326.62</v>
      </c>
      <c r="P11" s="51">
        <v>36.049999999999997</v>
      </c>
      <c r="Q11" s="51">
        <v>326.62</v>
      </c>
      <c r="R11" s="51">
        <v>0</v>
      </c>
      <c r="S11" s="51">
        <v>0</v>
      </c>
    </row>
    <row r="12" spans="1:19" ht="16.5" customHeight="1" x14ac:dyDescent="0.2">
      <c r="A12" s="48" t="s">
        <v>22</v>
      </c>
      <c r="B12" s="49">
        <f t="shared" si="0"/>
        <v>0.5</v>
      </c>
      <c r="C12" s="49">
        <f t="shared" si="0"/>
        <v>0.25700000000000001</v>
      </c>
      <c r="D12" s="49">
        <v>0.32</v>
      </c>
      <c r="E12" s="49">
        <v>0.16700000000000001</v>
      </c>
      <c r="F12" s="49">
        <v>0.18</v>
      </c>
      <c r="G12" s="49">
        <v>0.09</v>
      </c>
      <c r="H12" s="50">
        <f t="shared" si="1"/>
        <v>0.53</v>
      </c>
      <c r="I12" s="50">
        <f t="shared" si="1"/>
        <v>0.27</v>
      </c>
      <c r="J12" s="50">
        <v>0.34</v>
      </c>
      <c r="K12" s="50">
        <v>0.17</v>
      </c>
      <c r="L12" s="50">
        <v>0.19</v>
      </c>
      <c r="M12" s="50">
        <v>0.1</v>
      </c>
      <c r="N12" s="51">
        <f t="shared" si="2"/>
        <v>0.56000000000000005</v>
      </c>
      <c r="O12" s="51">
        <f t="shared" si="3"/>
        <v>0.26</v>
      </c>
      <c r="P12" s="51">
        <v>0.36</v>
      </c>
      <c r="Q12" s="51">
        <v>0.2</v>
      </c>
      <c r="R12" s="51">
        <v>0.2</v>
      </c>
      <c r="S12" s="51">
        <v>0.06</v>
      </c>
    </row>
    <row r="13" spans="1:19" ht="16.5" customHeight="1" x14ac:dyDescent="0.2">
      <c r="A13" s="52" t="s">
        <v>105</v>
      </c>
      <c r="B13" s="49">
        <f t="shared" si="0"/>
        <v>22.490000000000002</v>
      </c>
      <c r="C13" s="49">
        <f t="shared" si="0"/>
        <v>215.53</v>
      </c>
      <c r="D13" s="49">
        <v>22.490000000000002</v>
      </c>
      <c r="E13" s="49">
        <v>215.53</v>
      </c>
      <c r="F13" s="49">
        <v>0</v>
      </c>
      <c r="G13" s="49">
        <v>0</v>
      </c>
      <c r="H13" s="50">
        <f t="shared" si="1"/>
        <v>22.65</v>
      </c>
      <c r="I13" s="50">
        <f t="shared" si="1"/>
        <v>214.03</v>
      </c>
      <c r="J13" s="50">
        <v>22.65</v>
      </c>
      <c r="K13" s="50">
        <v>214.03</v>
      </c>
      <c r="L13" s="50">
        <v>0</v>
      </c>
      <c r="M13" s="50">
        <v>0</v>
      </c>
      <c r="N13" s="51">
        <f t="shared" si="2"/>
        <v>23.19</v>
      </c>
      <c r="O13" s="51">
        <f t="shared" si="3"/>
        <v>212.37</v>
      </c>
      <c r="P13" s="51">
        <v>23.19</v>
      </c>
      <c r="Q13" s="51">
        <v>212.37</v>
      </c>
      <c r="R13" s="51">
        <v>0</v>
      </c>
      <c r="S13" s="51">
        <v>0</v>
      </c>
    </row>
    <row r="14" spans="1:19" ht="16.5" customHeight="1" x14ac:dyDescent="0.2">
      <c r="A14" s="48" t="s">
        <v>5</v>
      </c>
      <c r="B14" s="49">
        <f t="shared" si="0"/>
        <v>474</v>
      </c>
      <c r="C14" s="49">
        <f t="shared" si="0"/>
        <v>866.96</v>
      </c>
      <c r="D14" s="49">
        <v>197.83</v>
      </c>
      <c r="E14" s="49">
        <v>467.27</v>
      </c>
      <c r="F14" s="49">
        <v>276.16999999999996</v>
      </c>
      <c r="G14" s="49">
        <v>399.69</v>
      </c>
      <c r="H14" s="50">
        <f t="shared" si="1"/>
        <v>467.98</v>
      </c>
      <c r="I14" s="50">
        <f t="shared" si="1"/>
        <v>904.55</v>
      </c>
      <c r="J14" s="50">
        <v>204.54</v>
      </c>
      <c r="K14" s="50">
        <v>483.29</v>
      </c>
      <c r="L14" s="50">
        <v>263.44</v>
      </c>
      <c r="M14" s="50">
        <v>421.26</v>
      </c>
      <c r="N14" s="51">
        <f t="shared" si="2"/>
        <v>452.62</v>
      </c>
      <c r="O14" s="51">
        <f t="shared" si="3"/>
        <v>881.62</v>
      </c>
      <c r="P14" s="51">
        <v>238.28</v>
      </c>
      <c r="Q14" s="51">
        <v>536.73</v>
      </c>
      <c r="R14" s="51">
        <v>214.34</v>
      </c>
      <c r="S14" s="51">
        <v>344.89</v>
      </c>
    </row>
    <row r="15" spans="1:19" ht="16.5" customHeight="1" x14ac:dyDescent="0.2">
      <c r="A15" s="48" t="s">
        <v>6</v>
      </c>
      <c r="B15" s="49">
        <f t="shared" si="0"/>
        <v>61.620000000000005</v>
      </c>
      <c r="C15" s="49">
        <f t="shared" si="0"/>
        <v>147.52000000000001</v>
      </c>
      <c r="D15" s="49">
        <v>61.620000000000005</v>
      </c>
      <c r="E15" s="49">
        <v>147.52000000000001</v>
      </c>
      <c r="F15" s="49">
        <v>0</v>
      </c>
      <c r="G15" s="49">
        <v>0</v>
      </c>
      <c r="H15" s="50">
        <f t="shared" si="1"/>
        <v>62.29</v>
      </c>
      <c r="I15" s="50">
        <f t="shared" si="1"/>
        <v>153.77000000000001</v>
      </c>
      <c r="J15" s="50">
        <v>62.29</v>
      </c>
      <c r="K15" s="50">
        <v>153.77000000000001</v>
      </c>
      <c r="L15" s="50">
        <v>0</v>
      </c>
      <c r="M15" s="50">
        <v>0</v>
      </c>
      <c r="N15" s="51">
        <f t="shared" si="2"/>
        <v>64.899999999999991</v>
      </c>
      <c r="O15" s="51">
        <f t="shared" si="3"/>
        <v>158.49</v>
      </c>
      <c r="P15" s="51">
        <v>64.88</v>
      </c>
      <c r="Q15" s="51">
        <v>158.47</v>
      </c>
      <c r="R15" s="51">
        <v>0.02</v>
      </c>
      <c r="S15" s="51">
        <v>0.02</v>
      </c>
    </row>
    <row r="16" spans="1:19" ht="16.5" customHeight="1" x14ac:dyDescent="0.2">
      <c r="A16" s="48" t="s">
        <v>11</v>
      </c>
      <c r="B16" s="49">
        <f t="shared" si="0"/>
        <v>0.18</v>
      </c>
      <c r="C16" s="49">
        <f t="shared" si="0"/>
        <v>0.10700000000000001</v>
      </c>
      <c r="D16" s="49">
        <v>0.09</v>
      </c>
      <c r="E16" s="49">
        <v>0.1</v>
      </c>
      <c r="F16" s="49">
        <v>0.09</v>
      </c>
      <c r="G16" s="49">
        <v>7.0000000000000001E-3</v>
      </c>
      <c r="H16" s="50">
        <f t="shared" si="1"/>
        <v>0.09</v>
      </c>
      <c r="I16" s="50">
        <f t="shared" si="1"/>
        <v>0.06</v>
      </c>
      <c r="J16" s="50">
        <v>0.03</v>
      </c>
      <c r="K16" s="50">
        <v>0.02</v>
      </c>
      <c r="L16" s="50">
        <v>0.06</v>
      </c>
      <c r="M16" s="50">
        <v>0.04</v>
      </c>
      <c r="N16" s="51">
        <f t="shared" si="2"/>
        <v>0.15000000000000002</v>
      </c>
      <c r="O16" s="51">
        <f t="shared" si="3"/>
        <v>0.09</v>
      </c>
      <c r="P16" s="51">
        <v>0.05</v>
      </c>
      <c r="Q16" s="51">
        <v>0.04</v>
      </c>
      <c r="R16" s="51">
        <v>0.1</v>
      </c>
      <c r="S16" s="51">
        <v>0.05</v>
      </c>
    </row>
    <row r="17" spans="1:19" ht="16.5" customHeight="1" x14ac:dyDescent="0.2">
      <c r="A17" s="48" t="s">
        <v>9</v>
      </c>
      <c r="B17" s="49">
        <f t="shared" si="0"/>
        <v>148.53</v>
      </c>
      <c r="C17" s="49">
        <f t="shared" si="0"/>
        <v>7609.97</v>
      </c>
      <c r="D17" s="49">
        <v>146</v>
      </c>
      <c r="E17" s="49">
        <v>7593.45</v>
      </c>
      <c r="F17" s="49">
        <v>2.5299999999999998</v>
      </c>
      <c r="G17" s="49">
        <v>16.52</v>
      </c>
      <c r="H17" s="50">
        <f t="shared" si="1"/>
        <v>110.99000000000001</v>
      </c>
      <c r="I17" s="50">
        <f t="shared" si="1"/>
        <v>5532.0099999999993</v>
      </c>
      <c r="J17" s="50">
        <v>108.51</v>
      </c>
      <c r="K17" s="50">
        <v>5464.23</v>
      </c>
      <c r="L17" s="50">
        <v>2.48</v>
      </c>
      <c r="M17" s="50">
        <v>67.78</v>
      </c>
      <c r="N17" s="51">
        <f t="shared" si="2"/>
        <v>109.36</v>
      </c>
      <c r="O17" s="51">
        <f t="shared" si="3"/>
        <v>5753.96</v>
      </c>
      <c r="P17" s="51">
        <v>108.6</v>
      </c>
      <c r="Q17" s="51">
        <v>5734.57</v>
      </c>
      <c r="R17" s="51">
        <v>0.76</v>
      </c>
      <c r="S17" s="51">
        <v>19.39</v>
      </c>
    </row>
    <row r="18" spans="1:19" ht="16.5" customHeight="1" x14ac:dyDescent="0.2">
      <c r="A18" s="68" t="s">
        <v>66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ht="16.5" customHeight="1" x14ac:dyDescent="0.2">
      <c r="A19" s="48" t="s">
        <v>15</v>
      </c>
      <c r="B19" s="49">
        <f>SUM(D19,F19)</f>
        <v>19.350000000000001</v>
      </c>
      <c r="C19" s="49">
        <f t="shared" ref="C19:C28" si="4">SUM(E19,G19)</f>
        <v>17.95</v>
      </c>
      <c r="D19" s="49">
        <v>4.7699999999999996</v>
      </c>
      <c r="E19" s="49">
        <v>5.5</v>
      </c>
      <c r="F19" s="49">
        <v>14.58</v>
      </c>
      <c r="G19" s="49">
        <v>12.45</v>
      </c>
      <c r="H19" s="49">
        <f>J19+L19</f>
        <v>21.11</v>
      </c>
      <c r="I19" s="49">
        <f>K19+M19</f>
        <v>20.07</v>
      </c>
      <c r="J19" s="49">
        <v>5.99</v>
      </c>
      <c r="K19" s="49">
        <v>6.92</v>
      </c>
      <c r="L19" s="49">
        <v>15.12</v>
      </c>
      <c r="M19" s="49">
        <v>13.15</v>
      </c>
      <c r="N19" s="49">
        <f>P19+R19</f>
        <v>20.990000000000002</v>
      </c>
      <c r="O19" s="49">
        <f>Q19+S19</f>
        <v>18.57</v>
      </c>
      <c r="P19" s="49">
        <v>6.03</v>
      </c>
      <c r="Q19" s="49">
        <v>6.57</v>
      </c>
      <c r="R19" s="49">
        <v>14.96</v>
      </c>
      <c r="S19" s="49">
        <v>12</v>
      </c>
    </row>
    <row r="20" spans="1:19" ht="16.5" customHeight="1" x14ac:dyDescent="0.2">
      <c r="A20" s="48" t="s">
        <v>14</v>
      </c>
      <c r="B20" s="49">
        <f t="shared" ref="B20:B28" si="5">SUM(D20,F20)</f>
        <v>27.029999999999998</v>
      </c>
      <c r="C20" s="49">
        <f t="shared" si="4"/>
        <v>12.36</v>
      </c>
      <c r="D20" s="49">
        <v>3.45</v>
      </c>
      <c r="E20" s="49">
        <v>2.5299999999999998</v>
      </c>
      <c r="F20" s="49">
        <v>23.58</v>
      </c>
      <c r="G20" s="49">
        <v>9.83</v>
      </c>
      <c r="H20" s="49">
        <f t="shared" ref="H20:I28" si="6">J20+L20</f>
        <v>29.009999999999998</v>
      </c>
      <c r="I20" s="49">
        <f t="shared" si="6"/>
        <v>18.66</v>
      </c>
      <c r="J20" s="49">
        <v>6.65</v>
      </c>
      <c r="K20" s="49">
        <v>5.24</v>
      </c>
      <c r="L20" s="49">
        <v>22.36</v>
      </c>
      <c r="M20" s="49">
        <v>13.42</v>
      </c>
      <c r="N20" s="49">
        <f t="shared" ref="N20:N28" si="7">P20+R20</f>
        <v>33.700000000000003</v>
      </c>
      <c r="O20" s="49">
        <f t="shared" ref="O20:O28" si="8">Q20+S20</f>
        <v>15.05</v>
      </c>
      <c r="P20" s="49">
        <v>8.81</v>
      </c>
      <c r="Q20" s="49">
        <v>2.64</v>
      </c>
      <c r="R20" s="49">
        <v>24.89</v>
      </c>
      <c r="S20" s="49">
        <v>12.41</v>
      </c>
    </row>
    <row r="21" spans="1:19" ht="16.5" customHeight="1" x14ac:dyDescent="0.2">
      <c r="A21" s="48" t="s">
        <v>24</v>
      </c>
      <c r="B21" s="49">
        <f t="shared" si="5"/>
        <v>11.91</v>
      </c>
      <c r="C21" s="49">
        <f t="shared" si="4"/>
        <v>222.43</v>
      </c>
      <c r="D21" s="49">
        <v>11.5</v>
      </c>
      <c r="E21" s="49">
        <v>216.31</v>
      </c>
      <c r="F21" s="49">
        <v>0.41</v>
      </c>
      <c r="G21" s="49">
        <v>6.12</v>
      </c>
      <c r="H21" s="49">
        <f t="shared" si="6"/>
        <v>11.84</v>
      </c>
      <c r="I21" s="49">
        <f t="shared" si="6"/>
        <v>227.57</v>
      </c>
      <c r="J21" s="49">
        <v>11.34</v>
      </c>
      <c r="K21" s="49">
        <v>220.04</v>
      </c>
      <c r="L21" s="49">
        <v>0.5</v>
      </c>
      <c r="M21" s="49">
        <v>7.53</v>
      </c>
      <c r="N21" s="49">
        <f t="shared" si="7"/>
        <v>11.899999999999999</v>
      </c>
      <c r="O21" s="49">
        <f t="shared" si="8"/>
        <v>209.12</v>
      </c>
      <c r="P21" s="49">
        <v>11.61</v>
      </c>
      <c r="Q21" s="49">
        <v>205.18</v>
      </c>
      <c r="R21" s="49">
        <v>0.28999999999999998</v>
      </c>
      <c r="S21" s="49">
        <v>3.94</v>
      </c>
    </row>
    <row r="22" spans="1:19" ht="16.5" customHeight="1" x14ac:dyDescent="0.2">
      <c r="A22" s="48" t="s">
        <v>23</v>
      </c>
      <c r="B22" s="49">
        <f t="shared" si="5"/>
        <v>2.4900000000000002</v>
      </c>
      <c r="C22" s="49">
        <f t="shared" si="4"/>
        <v>28.91</v>
      </c>
      <c r="D22" s="49">
        <v>1.73</v>
      </c>
      <c r="E22" s="49">
        <v>20.97</v>
      </c>
      <c r="F22" s="49">
        <v>0.76</v>
      </c>
      <c r="G22" s="49">
        <v>7.94</v>
      </c>
      <c r="H22" s="49">
        <f t="shared" si="6"/>
        <v>2.58</v>
      </c>
      <c r="I22" s="49">
        <f t="shared" si="6"/>
        <v>29.68</v>
      </c>
      <c r="J22" s="49">
        <v>1.71</v>
      </c>
      <c r="K22" s="49">
        <v>20.7</v>
      </c>
      <c r="L22" s="49">
        <v>0.87</v>
      </c>
      <c r="M22" s="49">
        <v>8.98</v>
      </c>
      <c r="N22" s="49">
        <f t="shared" si="7"/>
        <v>2.63</v>
      </c>
      <c r="O22" s="49">
        <f t="shared" si="8"/>
        <v>29.520000000000003</v>
      </c>
      <c r="P22" s="49">
        <v>1.77</v>
      </c>
      <c r="Q22" s="49">
        <v>20.67</v>
      </c>
      <c r="R22" s="49">
        <v>0.86</v>
      </c>
      <c r="S22" s="49">
        <v>8.85</v>
      </c>
    </row>
    <row r="23" spans="1:19" ht="16.5" customHeight="1" x14ac:dyDescent="0.2">
      <c r="A23" s="48" t="s">
        <v>25</v>
      </c>
      <c r="B23" s="49">
        <f t="shared" si="5"/>
        <v>7.91</v>
      </c>
      <c r="C23" s="49">
        <f t="shared" si="4"/>
        <v>62.61</v>
      </c>
      <c r="D23" s="49">
        <v>7.91</v>
      </c>
      <c r="E23" s="49">
        <v>62.61</v>
      </c>
      <c r="F23" s="49">
        <v>0</v>
      </c>
      <c r="G23" s="49">
        <v>0</v>
      </c>
      <c r="H23" s="49">
        <f t="shared" si="6"/>
        <v>8.8699999999999992</v>
      </c>
      <c r="I23" s="49">
        <f t="shared" si="6"/>
        <v>72.819999999999993</v>
      </c>
      <c r="J23" s="49">
        <v>8.8699999999999992</v>
      </c>
      <c r="K23" s="49">
        <v>72.819999999999993</v>
      </c>
      <c r="L23" s="49">
        <v>0</v>
      </c>
      <c r="M23" s="49">
        <v>0</v>
      </c>
      <c r="N23" s="49">
        <f t="shared" si="7"/>
        <v>8.4499999999999993</v>
      </c>
      <c r="O23" s="49">
        <f t="shared" si="8"/>
        <v>66.78</v>
      </c>
      <c r="P23" s="49">
        <v>8.4499999999999993</v>
      </c>
      <c r="Q23" s="49">
        <v>66.78</v>
      </c>
      <c r="R23" s="49">
        <v>0</v>
      </c>
      <c r="S23" s="49">
        <v>0</v>
      </c>
    </row>
    <row r="24" spans="1:19" ht="16.5" customHeight="1" x14ac:dyDescent="0.2">
      <c r="A24" s="48" t="s">
        <v>29</v>
      </c>
      <c r="B24" s="49">
        <f t="shared" si="5"/>
        <v>0.14000000000000001</v>
      </c>
      <c r="C24" s="49">
        <f t="shared" si="4"/>
        <v>0.08</v>
      </c>
      <c r="D24" s="49">
        <v>0.05</v>
      </c>
      <c r="E24" s="49">
        <v>0.05</v>
      </c>
      <c r="F24" s="49">
        <v>0.09</v>
      </c>
      <c r="G24" s="49">
        <v>0.03</v>
      </c>
      <c r="H24" s="49">
        <f t="shared" si="6"/>
        <v>0.18000000000000002</v>
      </c>
      <c r="I24" s="49">
        <f t="shared" si="6"/>
        <v>0.08</v>
      </c>
      <c r="J24" s="49">
        <v>0.01</v>
      </c>
      <c r="K24" s="49">
        <v>0.01</v>
      </c>
      <c r="L24" s="49">
        <v>0.17</v>
      </c>
      <c r="M24" s="49">
        <v>7.0000000000000007E-2</v>
      </c>
      <c r="N24" s="49">
        <f t="shared" si="7"/>
        <v>0.17800000000000002</v>
      </c>
      <c r="O24" s="49">
        <f t="shared" si="8"/>
        <v>7.5000000000000011E-2</v>
      </c>
      <c r="P24" s="49">
        <v>8.0000000000000002E-3</v>
      </c>
      <c r="Q24" s="49">
        <v>5.0000000000000001E-3</v>
      </c>
      <c r="R24" s="49">
        <v>0.17</v>
      </c>
      <c r="S24" s="49">
        <v>7.0000000000000007E-2</v>
      </c>
    </row>
    <row r="25" spans="1:19" ht="16.5" customHeight="1" x14ac:dyDescent="0.2">
      <c r="A25" s="48" t="s">
        <v>26</v>
      </c>
      <c r="B25" s="49">
        <f t="shared" si="5"/>
        <v>16.809999999999999</v>
      </c>
      <c r="C25" s="49">
        <f t="shared" si="4"/>
        <v>194.11</v>
      </c>
      <c r="D25" s="49">
        <v>16.809999999999999</v>
      </c>
      <c r="E25" s="49">
        <v>194.11</v>
      </c>
      <c r="F25" s="49">
        <v>0</v>
      </c>
      <c r="G25" s="49">
        <v>0</v>
      </c>
      <c r="H25" s="49">
        <f t="shared" si="6"/>
        <v>15.52</v>
      </c>
      <c r="I25" s="49">
        <f t="shared" si="6"/>
        <v>183.83</v>
      </c>
      <c r="J25" s="49">
        <v>15.52</v>
      </c>
      <c r="K25" s="49">
        <v>183.83</v>
      </c>
      <c r="L25" s="49">
        <v>0</v>
      </c>
      <c r="M25" s="49">
        <v>0</v>
      </c>
      <c r="N25" s="49">
        <f t="shared" si="7"/>
        <v>14.34</v>
      </c>
      <c r="O25" s="49">
        <f t="shared" si="8"/>
        <v>160.68</v>
      </c>
      <c r="P25" s="49">
        <v>14.34</v>
      </c>
      <c r="Q25" s="49">
        <v>160.68</v>
      </c>
      <c r="R25" s="49">
        <v>0</v>
      </c>
      <c r="S25" s="49">
        <v>0</v>
      </c>
    </row>
    <row r="26" spans="1:19" ht="25.5" x14ac:dyDescent="0.2">
      <c r="A26" s="52" t="s">
        <v>104</v>
      </c>
      <c r="B26" s="49">
        <f t="shared" si="5"/>
        <v>10.9</v>
      </c>
      <c r="C26" s="49">
        <f t="shared" si="4"/>
        <v>4.96</v>
      </c>
      <c r="D26" s="49">
        <v>1.69</v>
      </c>
      <c r="E26" s="49">
        <v>1.03</v>
      </c>
      <c r="F26" s="49">
        <v>9.2100000000000009</v>
      </c>
      <c r="G26" s="49">
        <v>3.93</v>
      </c>
      <c r="H26" s="49">
        <f t="shared" si="6"/>
        <v>12</v>
      </c>
      <c r="I26" s="49">
        <f t="shared" si="6"/>
        <v>5.7200000000000006</v>
      </c>
      <c r="J26" s="49">
        <v>2.48</v>
      </c>
      <c r="K26" s="49">
        <v>1.44</v>
      </c>
      <c r="L26" s="49">
        <v>9.52</v>
      </c>
      <c r="M26" s="49">
        <v>4.28</v>
      </c>
      <c r="N26" s="49">
        <f t="shared" si="7"/>
        <v>13.02</v>
      </c>
      <c r="O26" s="49">
        <f t="shared" si="8"/>
        <v>6.41</v>
      </c>
      <c r="P26" s="49">
        <v>3.23</v>
      </c>
      <c r="Q26" s="49">
        <v>1.91</v>
      </c>
      <c r="R26" s="49">
        <v>9.7899999999999991</v>
      </c>
      <c r="S26" s="49">
        <v>4.5</v>
      </c>
    </row>
    <row r="27" spans="1:19" ht="16.5" customHeight="1" x14ac:dyDescent="0.2">
      <c r="A27" s="48" t="s">
        <v>16</v>
      </c>
      <c r="B27" s="49">
        <f t="shared" si="5"/>
        <v>25.45</v>
      </c>
      <c r="C27" s="49">
        <f t="shared" si="4"/>
        <v>71.11</v>
      </c>
      <c r="D27" s="49">
        <v>25.45</v>
      </c>
      <c r="E27" s="49">
        <v>71.11</v>
      </c>
      <c r="F27" s="49">
        <v>0</v>
      </c>
      <c r="G27" s="49">
        <v>0</v>
      </c>
      <c r="H27" s="49">
        <v>24.87</v>
      </c>
      <c r="I27" s="49">
        <v>68.010000000000005</v>
      </c>
      <c r="J27" s="49">
        <v>24.87</v>
      </c>
      <c r="K27" s="49">
        <v>68.010000000000005</v>
      </c>
      <c r="L27" s="49">
        <v>0</v>
      </c>
      <c r="M27" s="49">
        <v>0</v>
      </c>
      <c r="N27" s="49">
        <f t="shared" si="7"/>
        <v>28.09</v>
      </c>
      <c r="O27" s="49">
        <f t="shared" si="8"/>
        <v>71.38</v>
      </c>
      <c r="P27" s="49">
        <v>28.09</v>
      </c>
      <c r="Q27" s="49">
        <v>71.38</v>
      </c>
      <c r="R27" s="49">
        <v>0</v>
      </c>
      <c r="S27" s="49">
        <v>0</v>
      </c>
    </row>
    <row r="28" spans="1:19" ht="16.5" customHeight="1" x14ac:dyDescent="0.2">
      <c r="A28" s="48" t="s">
        <v>13</v>
      </c>
      <c r="B28" s="49">
        <f t="shared" si="5"/>
        <v>753.37</v>
      </c>
      <c r="C28" s="49">
        <f t="shared" si="4"/>
        <v>1322.69</v>
      </c>
      <c r="D28" s="49">
        <v>360.35</v>
      </c>
      <c r="E28" s="49">
        <v>754.57</v>
      </c>
      <c r="F28" s="49">
        <v>393.02</v>
      </c>
      <c r="G28" s="49">
        <v>568.12</v>
      </c>
      <c r="H28" s="49">
        <f t="shared" si="6"/>
        <v>739.56999999999994</v>
      </c>
      <c r="I28" s="49">
        <f t="shared" si="6"/>
        <v>1327.58</v>
      </c>
      <c r="J28" s="49">
        <v>356.62</v>
      </c>
      <c r="K28" s="49">
        <v>771.39</v>
      </c>
      <c r="L28" s="49">
        <v>382.95</v>
      </c>
      <c r="M28" s="49">
        <v>556.19000000000005</v>
      </c>
      <c r="N28" s="49">
        <f t="shared" si="7"/>
        <v>727.28</v>
      </c>
      <c r="O28" s="49">
        <f t="shared" si="8"/>
        <v>1130.3600000000001</v>
      </c>
      <c r="P28" s="49">
        <v>336.58</v>
      </c>
      <c r="Q28" s="49">
        <v>640.64</v>
      </c>
      <c r="R28" s="49">
        <v>390.7</v>
      </c>
      <c r="S28" s="49">
        <v>489.72</v>
      </c>
    </row>
    <row r="29" spans="1:19" ht="3.75" customHeight="1" x14ac:dyDescent="0.2">
      <c r="A29" s="45"/>
      <c r="B29" s="44"/>
      <c r="C29" s="44"/>
      <c r="D29" s="43"/>
      <c r="E29" s="43"/>
      <c r="F29" s="43"/>
      <c r="G29" s="43"/>
      <c r="H29" s="44"/>
      <c r="I29" s="44"/>
      <c r="J29" s="43"/>
      <c r="K29" s="43"/>
      <c r="L29" s="43"/>
      <c r="M29" s="43"/>
      <c r="N29" s="44"/>
      <c r="O29" s="44"/>
      <c r="P29" s="43"/>
      <c r="Q29" s="43"/>
      <c r="R29" s="43"/>
      <c r="S29" s="43"/>
    </row>
    <row r="30" spans="1:19" s="39" customFormat="1" ht="12" x14ac:dyDescent="0.2">
      <c r="B30" s="41"/>
      <c r="I30" s="42"/>
      <c r="J30" s="42"/>
      <c r="K30" s="42"/>
      <c r="L30" s="42"/>
      <c r="N30" s="41"/>
      <c r="O30" s="41"/>
      <c r="P30" s="41"/>
      <c r="Q30" s="41"/>
      <c r="R30" s="41"/>
      <c r="S30" s="40" t="s">
        <v>99</v>
      </c>
    </row>
  </sheetData>
  <mergeCells count="16">
    <mergeCell ref="A18:S18"/>
    <mergeCell ref="A1:S1"/>
    <mergeCell ref="A3:A5"/>
    <mergeCell ref="N3:S3"/>
    <mergeCell ref="B3:G3"/>
    <mergeCell ref="H3: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6:S6"/>
  </mergeCell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29"/>
  <sheetViews>
    <sheetView tabSelected="1" view="pageBreakPreview" topLeftCell="A283" zoomScaleNormal="130" zoomScaleSheetLayoutView="100" workbookViewId="0">
      <selection activeCell="J311" sqref="J311"/>
    </sheetView>
  </sheetViews>
  <sheetFormatPr defaultColWidth="9.140625" defaultRowHeight="12.75" x14ac:dyDescent="0.2"/>
  <cols>
    <col min="1" max="1" width="13.28515625" style="9" customWidth="1"/>
    <col min="2" max="2" width="8.28515625" style="9" customWidth="1"/>
    <col min="3" max="3" width="10.28515625" style="9" customWidth="1"/>
    <col min="4" max="4" width="7.7109375" style="9" customWidth="1"/>
    <col min="5" max="5" width="8.28515625" style="9" customWidth="1"/>
    <col min="6" max="6" width="10" style="9" customWidth="1"/>
    <col min="7" max="7" width="8" style="9" customWidth="1"/>
    <col min="8" max="8" width="8.5703125" style="9" customWidth="1"/>
    <col min="9" max="9" width="10.28515625" style="9" customWidth="1"/>
    <col min="10" max="10" width="7.5703125" style="9" customWidth="1"/>
    <col min="11" max="16384" width="9.140625" style="9"/>
  </cols>
  <sheetData>
    <row r="1" spans="1:10" ht="60" customHeight="1" x14ac:dyDescent="0.2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8" customFormat="1" ht="12.75" customHeight="1" x14ac:dyDescent="0.2">
      <c r="A2" s="8" t="s">
        <v>64</v>
      </c>
      <c r="B2" s="15"/>
      <c r="C2" s="15"/>
      <c r="D2" s="15"/>
      <c r="E2" s="15"/>
      <c r="F2" s="15"/>
      <c r="H2" s="18"/>
      <c r="J2" s="15"/>
    </row>
    <row r="3" spans="1:10" ht="20.100000000000001" customHeight="1" x14ac:dyDescent="0.2">
      <c r="A3" s="75" t="s">
        <v>30</v>
      </c>
      <c r="B3" s="75" t="s">
        <v>86</v>
      </c>
      <c r="C3" s="75"/>
      <c r="D3" s="75"/>
      <c r="E3" s="75" t="s">
        <v>95</v>
      </c>
      <c r="F3" s="75"/>
      <c r="G3" s="75"/>
      <c r="H3" s="75" t="s">
        <v>102</v>
      </c>
      <c r="I3" s="75"/>
      <c r="J3" s="75"/>
    </row>
    <row r="4" spans="1:10" ht="39.950000000000003" customHeight="1" x14ac:dyDescent="0.2">
      <c r="A4" s="75"/>
      <c r="B4" s="63" t="s">
        <v>98</v>
      </c>
      <c r="C4" s="63" t="s">
        <v>96</v>
      </c>
      <c r="D4" s="63" t="s">
        <v>97</v>
      </c>
      <c r="E4" s="63" t="s">
        <v>98</v>
      </c>
      <c r="F4" s="63" t="s">
        <v>96</v>
      </c>
      <c r="G4" s="63" t="s">
        <v>97</v>
      </c>
      <c r="H4" s="63" t="s">
        <v>98</v>
      </c>
      <c r="I4" s="63" t="s">
        <v>96</v>
      </c>
      <c r="J4" s="63" t="s">
        <v>97</v>
      </c>
    </row>
    <row r="5" spans="1:10" ht="25.5" customHeight="1" x14ac:dyDescent="0.2">
      <c r="A5" s="6" t="s">
        <v>68</v>
      </c>
      <c r="B5" s="60">
        <f t="shared" ref="B5:C5" si="0">SUM(B6:B37)</f>
        <v>753367</v>
      </c>
      <c r="C5" s="60">
        <f t="shared" si="0"/>
        <v>1322690</v>
      </c>
      <c r="D5" s="60">
        <f t="shared" ref="D5" si="1">C5/B5*1000</f>
        <v>1755.7047229305238</v>
      </c>
      <c r="E5" s="60">
        <f t="shared" ref="E5:F5" si="2">SUM(E6:E37)</f>
        <v>739570</v>
      </c>
      <c r="F5" s="60">
        <f t="shared" si="2"/>
        <v>1327580</v>
      </c>
      <c r="G5" s="60">
        <f t="shared" ref="G5:G36" si="3">F5/E5*1000</f>
        <v>1795.0701083061779</v>
      </c>
      <c r="H5" s="60">
        <f>SUM(H6:H37)</f>
        <v>727276</v>
      </c>
      <c r="I5" s="60">
        <f>SUM(I6:I37)</f>
        <v>1130358</v>
      </c>
      <c r="J5" s="60">
        <f t="shared" ref="J5" si="4">I5/H5*1000</f>
        <v>1554.2352559413484</v>
      </c>
    </row>
    <row r="6" spans="1:10" s="61" customFormat="1" ht="17.100000000000001" customHeight="1" x14ac:dyDescent="0.2">
      <c r="A6" s="3" t="s">
        <v>39</v>
      </c>
      <c r="B6" s="21">
        <v>14380</v>
      </c>
      <c r="C6" s="21">
        <v>22976</v>
      </c>
      <c r="D6" s="21">
        <f t="shared" ref="D6:D36" si="5">C6/B6*1000</f>
        <v>1597.7746870653687</v>
      </c>
      <c r="E6" s="21">
        <v>14024</v>
      </c>
      <c r="F6" s="21">
        <v>22412</v>
      </c>
      <c r="G6" s="21">
        <f t="shared" si="3"/>
        <v>1598.1175128351397</v>
      </c>
      <c r="H6" s="21">
        <v>14024</v>
      </c>
      <c r="I6" s="21">
        <v>21903</v>
      </c>
      <c r="J6" s="21">
        <f t="shared" ref="J6:J36" si="6">I6/H6*1000</f>
        <v>1561.8225898459784</v>
      </c>
    </row>
    <row r="7" spans="1:10" s="61" customFormat="1" ht="17.100000000000001" customHeight="1" x14ac:dyDescent="0.2">
      <c r="A7" s="3" t="s">
        <v>94</v>
      </c>
      <c r="B7" s="21">
        <v>34523</v>
      </c>
      <c r="C7" s="21">
        <v>25410</v>
      </c>
      <c r="D7" s="21">
        <f t="shared" si="5"/>
        <v>736.03105176259305</v>
      </c>
      <c r="E7" s="21">
        <v>34535</v>
      </c>
      <c r="F7" s="21">
        <v>26410</v>
      </c>
      <c r="G7" s="21">
        <f t="shared" si="3"/>
        <v>764.73143188070071</v>
      </c>
      <c r="H7" s="21">
        <v>34540</v>
      </c>
      <c r="I7" s="21">
        <v>27190</v>
      </c>
      <c r="J7" s="21">
        <f t="shared" si="6"/>
        <v>787.20324261725534</v>
      </c>
    </row>
    <row r="8" spans="1:10" s="61" customFormat="1" ht="17.100000000000001" customHeight="1" x14ac:dyDescent="0.2">
      <c r="A8" s="3" t="s">
        <v>46</v>
      </c>
      <c r="B8" s="21">
        <v>17021</v>
      </c>
      <c r="C8" s="21">
        <v>33618</v>
      </c>
      <c r="D8" s="21">
        <f t="shared" si="5"/>
        <v>1975.0895952059223</v>
      </c>
      <c r="E8" s="21">
        <f>13673+4340</f>
        <v>18013</v>
      </c>
      <c r="F8" s="21">
        <f>31025+5952</f>
        <v>36977</v>
      </c>
      <c r="G8" s="21">
        <f t="shared" si="3"/>
        <v>2052.7952034641648</v>
      </c>
      <c r="H8" s="21">
        <v>17468</v>
      </c>
      <c r="I8" s="21">
        <v>33311</v>
      </c>
      <c r="J8" s="21">
        <f t="shared" si="6"/>
        <v>1906.9727501717425</v>
      </c>
    </row>
    <row r="9" spans="1:10" s="61" customFormat="1" ht="17.100000000000001" customHeight="1" x14ac:dyDescent="0.2">
      <c r="A9" s="3" t="s">
        <v>42</v>
      </c>
      <c r="B9" s="21">
        <v>7862</v>
      </c>
      <c r="C9" s="21">
        <v>17402</v>
      </c>
      <c r="D9" s="21">
        <f t="shared" si="5"/>
        <v>2213.4316967692698</v>
      </c>
      <c r="E9" s="21">
        <v>7803</v>
      </c>
      <c r="F9" s="21">
        <v>17359</v>
      </c>
      <c r="G9" s="21">
        <f t="shared" si="3"/>
        <v>2224.6571831346919</v>
      </c>
      <c r="H9" s="21">
        <v>7803</v>
      </c>
      <c r="I9" s="21">
        <v>11263</v>
      </c>
      <c r="J9" s="21">
        <f t="shared" si="6"/>
        <v>1443.4191977444573</v>
      </c>
    </row>
    <row r="10" spans="1:10" s="61" customFormat="1" ht="17.100000000000001" customHeight="1" x14ac:dyDescent="0.2">
      <c r="A10" s="3" t="s">
        <v>51</v>
      </c>
      <c r="B10" s="21">
        <v>50401</v>
      </c>
      <c r="C10" s="21">
        <v>73842</v>
      </c>
      <c r="D10" s="21">
        <f t="shared" si="5"/>
        <v>1465.0899783734451</v>
      </c>
      <c r="E10" s="21">
        <v>49378</v>
      </c>
      <c r="F10" s="21">
        <v>72110</v>
      </c>
      <c r="G10" s="21">
        <f t="shared" si="3"/>
        <v>1460.3669650451618</v>
      </c>
      <c r="H10" s="21">
        <v>49005</v>
      </c>
      <c r="I10" s="21">
        <v>59257</v>
      </c>
      <c r="J10" s="21">
        <f t="shared" si="6"/>
        <v>1209.2031425364758</v>
      </c>
    </row>
    <row r="11" spans="1:10" s="61" customFormat="1" ht="17.100000000000001" customHeight="1" x14ac:dyDescent="0.2">
      <c r="A11" s="3" t="s">
        <v>33</v>
      </c>
      <c r="B11" s="21">
        <v>46504</v>
      </c>
      <c r="C11" s="21">
        <v>85407</v>
      </c>
      <c r="D11" s="21">
        <f t="shared" si="5"/>
        <v>1836.5516944778944</v>
      </c>
      <c r="E11" s="21">
        <v>36652</v>
      </c>
      <c r="F11" s="21">
        <v>84706</v>
      </c>
      <c r="G11" s="21">
        <f t="shared" si="3"/>
        <v>2311.0880715922731</v>
      </c>
      <c r="H11" s="21">
        <v>36015</v>
      </c>
      <c r="I11" s="21">
        <v>75708</v>
      </c>
      <c r="J11" s="21">
        <f t="shared" si="6"/>
        <v>2102.1241149521034</v>
      </c>
    </row>
    <row r="12" spans="1:10" s="61" customFormat="1" ht="17.100000000000001" customHeight="1" x14ac:dyDescent="0.2">
      <c r="A12" s="3" t="s">
        <v>48</v>
      </c>
      <c r="B12" s="21">
        <v>8339</v>
      </c>
      <c r="C12" s="21">
        <v>18474</v>
      </c>
      <c r="D12" s="21">
        <f t="shared" si="5"/>
        <v>2215.3735459887275</v>
      </c>
      <c r="E12" s="21">
        <v>8141</v>
      </c>
      <c r="F12" s="21">
        <v>17618</v>
      </c>
      <c r="G12" s="21">
        <f t="shared" si="3"/>
        <v>2164.1076034885145</v>
      </c>
      <c r="H12" s="21">
        <v>8139</v>
      </c>
      <c r="I12" s="21">
        <v>15494</v>
      </c>
      <c r="J12" s="21">
        <f t="shared" si="6"/>
        <v>1903.6736699840276</v>
      </c>
    </row>
    <row r="13" spans="1:10" s="61" customFormat="1" ht="17.100000000000001" customHeight="1" x14ac:dyDescent="0.2">
      <c r="A13" s="3" t="s">
        <v>44</v>
      </c>
      <c r="B13" s="21">
        <v>47439</v>
      </c>
      <c r="C13" s="21">
        <v>92834</v>
      </c>
      <c r="D13" s="21">
        <f t="shared" si="5"/>
        <v>1956.9130883871919</v>
      </c>
      <c r="E13" s="21">
        <f>51935+4591</f>
        <v>56526</v>
      </c>
      <c r="F13" s="21">
        <f>94042+4610</f>
        <v>98652</v>
      </c>
      <c r="G13" s="21">
        <f t="shared" si="3"/>
        <v>1745.2499734635389</v>
      </c>
      <c r="H13" s="21">
        <v>54469</v>
      </c>
      <c r="I13" s="21">
        <v>62539</v>
      </c>
      <c r="J13" s="21">
        <f t="shared" si="6"/>
        <v>1148.157667664176</v>
      </c>
    </row>
    <row r="14" spans="1:10" s="61" customFormat="1" ht="17.100000000000001" customHeight="1" x14ac:dyDescent="0.2">
      <c r="A14" s="3" t="s">
        <v>80</v>
      </c>
      <c r="B14" s="21">
        <v>28814</v>
      </c>
      <c r="C14" s="21">
        <v>53355</v>
      </c>
      <c r="D14" s="21">
        <f t="shared" si="5"/>
        <v>1851.704032761852</v>
      </c>
      <c r="E14" s="21">
        <v>28810</v>
      </c>
      <c r="F14" s="21">
        <v>54934</v>
      </c>
      <c r="G14" s="21">
        <f t="shared" si="3"/>
        <v>1906.7684831655677</v>
      </c>
      <c r="H14" s="21">
        <v>28800</v>
      </c>
      <c r="I14" s="21">
        <v>54920</v>
      </c>
      <c r="J14" s="21">
        <f t="shared" si="6"/>
        <v>1906.9444444444446</v>
      </c>
    </row>
    <row r="15" spans="1:10" s="61" customFormat="1" ht="17.100000000000001" customHeight="1" x14ac:dyDescent="0.2">
      <c r="A15" s="3" t="s">
        <v>81</v>
      </c>
      <c r="B15" s="21">
        <v>23820</v>
      </c>
      <c r="C15" s="21">
        <v>45772</v>
      </c>
      <c r="D15" s="21">
        <f t="shared" si="5"/>
        <v>1921.5785054575986</v>
      </c>
      <c r="E15" s="21">
        <v>23376</v>
      </c>
      <c r="F15" s="21">
        <v>42904</v>
      </c>
      <c r="G15" s="21">
        <f t="shared" si="3"/>
        <v>1835.3867214236823</v>
      </c>
      <c r="H15" s="21">
        <v>23411</v>
      </c>
      <c r="I15" s="21">
        <v>41758</v>
      </c>
      <c r="J15" s="21">
        <f t="shared" si="6"/>
        <v>1783.6914271069156</v>
      </c>
    </row>
    <row r="16" spans="1:10" s="61" customFormat="1" ht="17.100000000000001" customHeight="1" x14ac:dyDescent="0.2">
      <c r="A16" s="3" t="s">
        <v>37</v>
      </c>
      <c r="B16" s="21">
        <v>9760</v>
      </c>
      <c r="C16" s="21">
        <v>15837</v>
      </c>
      <c r="D16" s="21">
        <f t="shared" si="5"/>
        <v>1622.6434426229507</v>
      </c>
      <c r="E16" s="21">
        <v>9996</v>
      </c>
      <c r="F16" s="21">
        <v>16220</v>
      </c>
      <c r="G16" s="21">
        <f t="shared" si="3"/>
        <v>1622.6490596238496</v>
      </c>
      <c r="H16" s="21">
        <v>9795</v>
      </c>
      <c r="I16" s="21">
        <v>12253</v>
      </c>
      <c r="J16" s="21">
        <f t="shared" si="6"/>
        <v>1250.9443593670239</v>
      </c>
    </row>
    <row r="17" spans="1:10" s="61" customFormat="1" ht="17.100000000000001" customHeight="1" x14ac:dyDescent="0.2">
      <c r="A17" s="3" t="s">
        <v>40</v>
      </c>
      <c r="B17" s="21">
        <v>38787</v>
      </c>
      <c r="C17" s="21">
        <v>76512</v>
      </c>
      <c r="D17" s="21">
        <f t="shared" si="5"/>
        <v>1972.6196921649007</v>
      </c>
      <c r="E17" s="21">
        <v>32507</v>
      </c>
      <c r="F17" s="21">
        <v>63700</v>
      </c>
      <c r="G17" s="21">
        <f t="shared" si="3"/>
        <v>1959.5779370597102</v>
      </c>
      <c r="H17" s="21">
        <v>32507</v>
      </c>
      <c r="I17" s="21">
        <v>55455</v>
      </c>
      <c r="J17" s="21">
        <f t="shared" si="6"/>
        <v>1705.9402590211339</v>
      </c>
    </row>
    <row r="18" spans="1:10" s="61" customFormat="1" ht="17.100000000000001" customHeight="1" x14ac:dyDescent="0.2">
      <c r="A18" s="3" t="s">
        <v>38</v>
      </c>
      <c r="B18" s="21">
        <v>15966</v>
      </c>
      <c r="C18" s="21">
        <v>4022</v>
      </c>
      <c r="D18" s="21">
        <f t="shared" si="5"/>
        <v>251.91030940749093</v>
      </c>
      <c r="E18" s="21">
        <v>15308</v>
      </c>
      <c r="F18" s="21">
        <v>4404</v>
      </c>
      <c r="G18" s="21">
        <f t="shared" si="3"/>
        <v>287.69270969427754</v>
      </c>
      <c r="H18" s="21">
        <v>15393</v>
      </c>
      <c r="I18" s="21">
        <v>4800</v>
      </c>
      <c r="J18" s="21">
        <f t="shared" si="6"/>
        <v>311.83005262132139</v>
      </c>
    </row>
    <row r="19" spans="1:10" s="61" customFormat="1" ht="17.100000000000001" customHeight="1" x14ac:dyDescent="0.2">
      <c r="A19" s="3" t="s">
        <v>87</v>
      </c>
      <c r="B19" s="21">
        <v>10400</v>
      </c>
      <c r="C19" s="21">
        <v>16450</v>
      </c>
      <c r="D19" s="21">
        <f t="shared" si="5"/>
        <v>1581.7307692307691</v>
      </c>
      <c r="E19" s="21">
        <v>10620</v>
      </c>
      <c r="F19" s="21">
        <v>17734</v>
      </c>
      <c r="G19" s="21">
        <f t="shared" si="3"/>
        <v>1669.8681732580039</v>
      </c>
      <c r="H19" s="21">
        <v>10625</v>
      </c>
      <c r="I19" s="21">
        <v>17545</v>
      </c>
      <c r="J19" s="21">
        <f t="shared" si="6"/>
        <v>1651.2941176470588</v>
      </c>
    </row>
    <row r="20" spans="1:10" s="61" customFormat="1" ht="17.100000000000001" customHeight="1" x14ac:dyDescent="0.2">
      <c r="A20" s="3" t="s">
        <v>36</v>
      </c>
      <c r="B20" s="21">
        <v>27926</v>
      </c>
      <c r="C20" s="21">
        <v>34141</v>
      </c>
      <c r="D20" s="21">
        <f t="shared" si="5"/>
        <v>1222.5524600730503</v>
      </c>
      <c r="E20" s="21">
        <f>25156+1602</f>
        <v>26758</v>
      </c>
      <c r="F20" s="21">
        <f>33190+2023</f>
        <v>35213</v>
      </c>
      <c r="G20" s="21">
        <f t="shared" si="3"/>
        <v>1315.9802675835265</v>
      </c>
      <c r="H20" s="21">
        <v>23088</v>
      </c>
      <c r="I20" s="21">
        <v>29882</v>
      </c>
      <c r="J20" s="21">
        <f t="shared" si="6"/>
        <v>1294.2654192654193</v>
      </c>
    </row>
    <row r="21" spans="1:10" s="61" customFormat="1" ht="17.100000000000001" customHeight="1" x14ac:dyDescent="0.2">
      <c r="A21" s="3" t="s">
        <v>43</v>
      </c>
      <c r="B21" s="21">
        <v>1815</v>
      </c>
      <c r="C21" s="21">
        <v>4111</v>
      </c>
      <c r="D21" s="21">
        <f t="shared" si="5"/>
        <v>2265.0137741046833</v>
      </c>
      <c r="E21" s="21">
        <v>1724</v>
      </c>
      <c r="F21" s="21">
        <v>4208</v>
      </c>
      <c r="G21" s="21">
        <f t="shared" si="3"/>
        <v>2440.8352668213456</v>
      </c>
      <c r="H21" s="21">
        <v>1724</v>
      </c>
      <c r="I21" s="21">
        <v>2626</v>
      </c>
      <c r="J21" s="21">
        <f t="shared" si="6"/>
        <v>1523.201856148492</v>
      </c>
    </row>
    <row r="22" spans="1:10" s="61" customFormat="1" ht="17.100000000000001" customHeight="1" x14ac:dyDescent="0.2">
      <c r="A22" s="3" t="s">
        <v>88</v>
      </c>
      <c r="B22" s="21">
        <v>22516</v>
      </c>
      <c r="C22" s="21">
        <v>36187</v>
      </c>
      <c r="D22" s="21">
        <f t="shared" si="5"/>
        <v>1607.1682359211227</v>
      </c>
      <c r="E22" s="21">
        <v>22765</v>
      </c>
      <c r="F22" s="21">
        <v>39728</v>
      </c>
      <c r="G22" s="21">
        <f t="shared" si="3"/>
        <v>1745.1350757742148</v>
      </c>
      <c r="H22" s="21">
        <v>22790</v>
      </c>
      <c r="I22" s="21">
        <v>36540</v>
      </c>
      <c r="J22" s="21">
        <f t="shared" si="6"/>
        <v>1603.3347959631417</v>
      </c>
    </row>
    <row r="23" spans="1:10" s="61" customFormat="1" ht="17.100000000000001" customHeight="1" x14ac:dyDescent="0.2">
      <c r="A23" s="3" t="s">
        <v>47</v>
      </c>
      <c r="B23" s="21">
        <v>17060</v>
      </c>
      <c r="C23" s="21">
        <v>17731</v>
      </c>
      <c r="D23" s="21">
        <f t="shared" si="5"/>
        <v>1039.3317702227434</v>
      </c>
      <c r="E23" s="21">
        <v>18755</v>
      </c>
      <c r="F23" s="21">
        <v>27420</v>
      </c>
      <c r="G23" s="21">
        <f t="shared" si="3"/>
        <v>1462.0101306318315</v>
      </c>
      <c r="H23" s="21">
        <v>18007</v>
      </c>
      <c r="I23" s="21">
        <v>20029</v>
      </c>
      <c r="J23" s="21">
        <f t="shared" si="6"/>
        <v>1112.2896651302271</v>
      </c>
    </row>
    <row r="24" spans="1:10" s="61" customFormat="1" ht="17.100000000000001" customHeight="1" x14ac:dyDescent="0.2">
      <c r="A24" s="3" t="s">
        <v>52</v>
      </c>
      <c r="B24" s="21">
        <v>25440</v>
      </c>
      <c r="C24" s="21">
        <v>35463</v>
      </c>
      <c r="D24" s="21">
        <f t="shared" si="5"/>
        <v>1393.9858490566037</v>
      </c>
      <c r="E24" s="21">
        <v>25449</v>
      </c>
      <c r="F24" s="21">
        <v>35673</v>
      </c>
      <c r="G24" s="21">
        <f t="shared" si="3"/>
        <v>1401.7446658021927</v>
      </c>
      <c r="H24" s="21">
        <v>25478</v>
      </c>
      <c r="I24" s="21">
        <v>32091</v>
      </c>
      <c r="J24" s="21">
        <f t="shared" si="6"/>
        <v>1259.5572650914514</v>
      </c>
    </row>
    <row r="25" spans="1:10" s="61" customFormat="1" ht="17.100000000000001" customHeight="1" x14ac:dyDescent="0.2">
      <c r="A25" s="3" t="s">
        <v>41</v>
      </c>
      <c r="B25" s="21">
        <v>36680</v>
      </c>
      <c r="C25" s="21">
        <v>96676</v>
      </c>
      <c r="D25" s="21">
        <f t="shared" si="5"/>
        <v>2635.659760087241</v>
      </c>
      <c r="E25" s="21">
        <v>36681</v>
      </c>
      <c r="F25" s="21">
        <v>82251</v>
      </c>
      <c r="G25" s="21">
        <f t="shared" si="3"/>
        <v>2242.3325427332948</v>
      </c>
      <c r="H25" s="21">
        <v>36681</v>
      </c>
      <c r="I25" s="21">
        <v>62088</v>
      </c>
      <c r="J25" s="21">
        <f t="shared" si="6"/>
        <v>1692.6474196450479</v>
      </c>
    </row>
    <row r="26" spans="1:10" s="61" customFormat="1" ht="17.100000000000001" customHeight="1" x14ac:dyDescent="0.2">
      <c r="A26" s="3" t="s">
        <v>34</v>
      </c>
      <c r="B26" s="21">
        <v>40380</v>
      </c>
      <c r="C26" s="21">
        <v>85945</v>
      </c>
      <c r="D26" s="21">
        <f t="shared" si="5"/>
        <v>2128.4051510648837</v>
      </c>
      <c r="E26" s="21">
        <v>40610</v>
      </c>
      <c r="F26" s="21">
        <v>85035</v>
      </c>
      <c r="G26" s="21">
        <f t="shared" si="3"/>
        <v>2093.9423787244518</v>
      </c>
      <c r="H26" s="21">
        <v>40859</v>
      </c>
      <c r="I26" s="21">
        <v>71784</v>
      </c>
      <c r="J26" s="21">
        <f t="shared" si="6"/>
        <v>1756.8711911696321</v>
      </c>
    </row>
    <row r="27" spans="1:10" s="61" customFormat="1" ht="17.100000000000001" customHeight="1" x14ac:dyDescent="0.2">
      <c r="A27" s="3" t="s">
        <v>89</v>
      </c>
      <c r="B27" s="21">
        <v>6885</v>
      </c>
      <c r="C27" s="21">
        <v>9140</v>
      </c>
      <c r="D27" s="21">
        <f t="shared" si="5"/>
        <v>1327.523602033406</v>
      </c>
      <c r="E27" s="21">
        <v>7060</v>
      </c>
      <c r="F27" s="21">
        <v>9366</v>
      </c>
      <c r="G27" s="21">
        <f t="shared" si="3"/>
        <v>1326.6288951841361</v>
      </c>
      <c r="H27" s="21">
        <v>7070</v>
      </c>
      <c r="I27" s="21">
        <v>8715</v>
      </c>
      <c r="J27" s="21">
        <f t="shared" si="6"/>
        <v>1232.6732673267327</v>
      </c>
    </row>
    <row r="28" spans="1:10" s="61" customFormat="1" ht="17.100000000000001" customHeight="1" x14ac:dyDescent="0.2">
      <c r="A28" s="3" t="s">
        <v>91</v>
      </c>
      <c r="B28" s="21">
        <v>4293</v>
      </c>
      <c r="C28" s="21">
        <v>5930</v>
      </c>
      <c r="D28" s="21">
        <f t="shared" si="5"/>
        <v>1381.3184253435827</v>
      </c>
      <c r="E28" s="21">
        <v>4380</v>
      </c>
      <c r="F28" s="21">
        <v>6491</v>
      </c>
      <c r="G28" s="21">
        <f t="shared" si="3"/>
        <v>1481.9634703196348</v>
      </c>
      <c r="H28" s="21">
        <v>4510</v>
      </c>
      <c r="I28" s="21">
        <v>6295</v>
      </c>
      <c r="J28" s="21">
        <f t="shared" si="6"/>
        <v>1395.7871396895787</v>
      </c>
    </row>
    <row r="29" spans="1:10" s="61" customFormat="1" ht="17.100000000000001" customHeight="1" x14ac:dyDescent="0.2">
      <c r="A29" s="3" t="s">
        <v>32</v>
      </c>
      <c r="B29" s="21">
        <v>23749</v>
      </c>
      <c r="C29" s="21">
        <v>53133</v>
      </c>
      <c r="D29" s="21">
        <f t="shared" si="5"/>
        <v>2237.273148343088</v>
      </c>
      <c r="E29" s="21">
        <v>26491</v>
      </c>
      <c r="F29" s="21">
        <v>66087</v>
      </c>
      <c r="G29" s="21">
        <f t="shared" si="3"/>
        <v>2494.6963119550032</v>
      </c>
      <c r="H29" s="21">
        <v>23118</v>
      </c>
      <c r="I29" s="21">
        <v>55212</v>
      </c>
      <c r="J29" s="21">
        <f t="shared" si="6"/>
        <v>2388.2688813911236</v>
      </c>
    </row>
    <row r="30" spans="1:10" s="61" customFormat="1" ht="17.100000000000001" customHeight="1" x14ac:dyDescent="0.2">
      <c r="A30" s="3" t="s">
        <v>90</v>
      </c>
      <c r="B30" s="21">
        <v>3503</v>
      </c>
      <c r="C30" s="21">
        <v>4650</v>
      </c>
      <c r="D30" s="21">
        <f t="shared" si="5"/>
        <v>1327.4336283185842</v>
      </c>
      <c r="E30" s="21">
        <v>3668</v>
      </c>
      <c r="F30" s="21">
        <v>4865</v>
      </c>
      <c r="G30" s="21">
        <f t="shared" si="3"/>
        <v>1326.3358778625952</v>
      </c>
      <c r="H30" s="21">
        <v>3808</v>
      </c>
      <c r="I30" s="21">
        <v>4952</v>
      </c>
      <c r="J30" s="21">
        <f t="shared" si="6"/>
        <v>1300.420168067227</v>
      </c>
    </row>
    <row r="31" spans="1:10" s="61" customFormat="1" ht="17.100000000000001" customHeight="1" x14ac:dyDescent="0.2">
      <c r="A31" s="3" t="s">
        <v>31</v>
      </c>
      <c r="B31" s="21">
        <v>38688</v>
      </c>
      <c r="C31" s="21">
        <v>72223</v>
      </c>
      <c r="D31" s="21">
        <f t="shared" si="5"/>
        <v>1866.8062448304383</v>
      </c>
      <c r="E31" s="21">
        <f>34418+4135</f>
        <v>38553</v>
      </c>
      <c r="F31" s="21">
        <f>70570+5977</f>
        <v>76547</v>
      </c>
      <c r="G31" s="21">
        <f t="shared" si="3"/>
        <v>1985.5004798588955</v>
      </c>
      <c r="H31" s="21">
        <v>38155</v>
      </c>
      <c r="I31" s="21">
        <v>75185</v>
      </c>
      <c r="J31" s="21">
        <f t="shared" si="6"/>
        <v>1970.5150045865548</v>
      </c>
    </row>
    <row r="32" spans="1:10" s="61" customFormat="1" ht="17.100000000000001" customHeight="1" x14ac:dyDescent="0.2">
      <c r="A32" s="3" t="s">
        <v>92</v>
      </c>
      <c r="B32" s="21">
        <v>7950</v>
      </c>
      <c r="C32" s="21">
        <v>8410</v>
      </c>
      <c r="D32" s="21">
        <f t="shared" si="5"/>
        <v>1057.8616352201257</v>
      </c>
      <c r="E32" s="21">
        <v>8070</v>
      </c>
      <c r="F32" s="21">
        <v>9051</v>
      </c>
      <c r="G32" s="21">
        <f t="shared" si="3"/>
        <v>1121.5613382899628</v>
      </c>
      <c r="H32" s="21">
        <v>8093</v>
      </c>
      <c r="I32" s="21">
        <v>8855</v>
      </c>
      <c r="J32" s="21">
        <f t="shared" si="6"/>
        <v>1094.1554429754108</v>
      </c>
    </row>
    <row r="33" spans="1:10" s="61" customFormat="1" ht="17.100000000000001" customHeight="1" x14ac:dyDescent="0.2">
      <c r="A33" s="3" t="s">
        <v>50</v>
      </c>
      <c r="B33" s="21">
        <v>24470</v>
      </c>
      <c r="C33" s="21">
        <v>46505</v>
      </c>
      <c r="D33" s="21">
        <f t="shared" si="5"/>
        <v>1900.4903964037596</v>
      </c>
      <c r="E33" s="21">
        <v>24452</v>
      </c>
      <c r="F33" s="21">
        <v>46185</v>
      </c>
      <c r="G33" s="21">
        <f t="shared" si="3"/>
        <v>1888.8025519384917</v>
      </c>
      <c r="H33" s="21">
        <v>24457</v>
      </c>
      <c r="I33" s="21">
        <v>37975</v>
      </c>
      <c r="J33" s="21">
        <f t="shared" si="6"/>
        <v>1552.7251911518174</v>
      </c>
    </row>
    <row r="34" spans="1:10" s="61" customFormat="1" ht="17.100000000000001" customHeight="1" x14ac:dyDescent="0.2">
      <c r="A34" s="3" t="s">
        <v>35</v>
      </c>
      <c r="B34" s="21">
        <v>38567</v>
      </c>
      <c r="C34" s="21">
        <v>72742</v>
      </c>
      <c r="D34" s="21">
        <f t="shared" si="5"/>
        <v>1886.1202582518736</v>
      </c>
      <c r="E34" s="21">
        <v>38727</v>
      </c>
      <c r="F34" s="21">
        <v>75155</v>
      </c>
      <c r="G34" s="21">
        <f t="shared" si="3"/>
        <v>1940.6357321765176</v>
      </c>
      <c r="H34" s="21">
        <v>38727</v>
      </c>
      <c r="I34" s="21">
        <v>67839</v>
      </c>
      <c r="J34" s="21">
        <f t="shared" si="6"/>
        <v>1751.7236036873499</v>
      </c>
    </row>
    <row r="35" spans="1:10" s="61" customFormat="1" ht="17.100000000000001" customHeight="1" x14ac:dyDescent="0.2">
      <c r="A35" s="3" t="s">
        <v>49</v>
      </c>
      <c r="B35" s="21">
        <v>61851</v>
      </c>
      <c r="C35" s="21">
        <v>132546</v>
      </c>
      <c r="D35" s="21">
        <f t="shared" si="5"/>
        <v>2142.988795654072</v>
      </c>
      <c r="E35" s="21">
        <v>58283</v>
      </c>
      <c r="F35" s="21">
        <v>130982</v>
      </c>
      <c r="G35" s="21">
        <f t="shared" si="3"/>
        <v>2247.3448518435907</v>
      </c>
      <c r="H35" s="21">
        <v>56060</v>
      </c>
      <c r="I35" s="21">
        <v>103592</v>
      </c>
      <c r="J35" s="21">
        <f t="shared" si="6"/>
        <v>1847.8772743489119</v>
      </c>
    </row>
    <row r="36" spans="1:10" s="61" customFormat="1" ht="17.100000000000001" customHeight="1" x14ac:dyDescent="0.2">
      <c r="A36" s="3" t="s">
        <v>45</v>
      </c>
      <c r="B36" s="21">
        <v>17578</v>
      </c>
      <c r="C36" s="21">
        <v>25246</v>
      </c>
      <c r="D36" s="21">
        <f t="shared" si="5"/>
        <v>1436.2271020593923</v>
      </c>
      <c r="E36" s="21">
        <v>11455</v>
      </c>
      <c r="F36" s="21">
        <v>17183</v>
      </c>
      <c r="G36" s="21">
        <f t="shared" si="3"/>
        <v>1500.0436490615452</v>
      </c>
      <c r="H36" s="21">
        <v>12657</v>
      </c>
      <c r="I36" s="21">
        <v>13302</v>
      </c>
      <c r="J36" s="21">
        <f t="shared" si="6"/>
        <v>1050.959943114482</v>
      </c>
    </row>
    <row r="37" spans="1:10" s="61" customFormat="1" ht="17.100000000000001" customHeight="1" x14ac:dyDescent="0.2">
      <c r="A37" s="3" t="s">
        <v>79</v>
      </c>
      <c r="B37" s="21" t="s">
        <v>103</v>
      </c>
      <c r="C37" s="21" t="s">
        <v>103</v>
      </c>
      <c r="D37" s="21" t="s">
        <v>103</v>
      </c>
      <c r="E37" s="21" t="s">
        <v>103</v>
      </c>
      <c r="F37" s="21" t="s">
        <v>103</v>
      </c>
      <c r="G37" s="21" t="s">
        <v>103</v>
      </c>
      <c r="H37" s="21" t="s">
        <v>103</v>
      </c>
      <c r="I37" s="21" t="s">
        <v>103</v>
      </c>
      <c r="J37" s="21" t="s">
        <v>103</v>
      </c>
    </row>
    <row r="38" spans="1:10" ht="12.75" customHeight="1" x14ac:dyDescent="0.2">
      <c r="B38" s="13"/>
      <c r="C38" s="13"/>
      <c r="D38" s="13"/>
      <c r="E38" s="13"/>
      <c r="F38" s="13"/>
      <c r="G38" s="13"/>
      <c r="J38" s="13"/>
    </row>
    <row r="39" spans="1:10" s="8" customFormat="1" ht="13.5" customHeight="1" x14ac:dyDescent="0.2">
      <c r="J39" s="53" t="s">
        <v>99</v>
      </c>
    </row>
    <row r="40" spans="1:10" ht="60" customHeight="1" x14ac:dyDescent="0.2">
      <c r="A40" s="73" t="s">
        <v>70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s="8" customFormat="1" ht="12.75" customHeight="1" x14ac:dyDescent="0.2">
      <c r="A41" s="8" t="s">
        <v>54</v>
      </c>
      <c r="B41" s="14"/>
      <c r="C41" s="14"/>
      <c r="D41" s="14"/>
      <c r="E41" s="14"/>
      <c r="F41" s="14"/>
      <c r="I41" s="14"/>
      <c r="J41" s="15"/>
    </row>
    <row r="42" spans="1:10" ht="20.100000000000001" customHeight="1" x14ac:dyDescent="0.2">
      <c r="A42" s="75" t="s">
        <v>30</v>
      </c>
      <c r="B42" s="75" t="s">
        <v>86</v>
      </c>
      <c r="C42" s="75"/>
      <c r="D42" s="75"/>
      <c r="E42" s="75" t="s">
        <v>95</v>
      </c>
      <c r="F42" s="75"/>
      <c r="G42" s="75"/>
      <c r="H42" s="75" t="s">
        <v>102</v>
      </c>
      <c r="I42" s="75"/>
      <c r="J42" s="75"/>
    </row>
    <row r="43" spans="1:10" ht="39.950000000000003" customHeight="1" x14ac:dyDescent="0.2">
      <c r="A43" s="75"/>
      <c r="B43" s="63" t="s">
        <v>98</v>
      </c>
      <c r="C43" s="63" t="s">
        <v>96</v>
      </c>
      <c r="D43" s="63" t="s">
        <v>97</v>
      </c>
      <c r="E43" s="63" t="s">
        <v>98</v>
      </c>
      <c r="F43" s="63" t="s">
        <v>96</v>
      </c>
      <c r="G43" s="63" t="s">
        <v>97</v>
      </c>
      <c r="H43" s="63" t="s">
        <v>98</v>
      </c>
      <c r="I43" s="63" t="s">
        <v>96</v>
      </c>
      <c r="J43" s="63" t="s">
        <v>97</v>
      </c>
    </row>
    <row r="44" spans="1:10" ht="25.5" customHeight="1" x14ac:dyDescent="0.2">
      <c r="A44" s="6" t="s">
        <v>68</v>
      </c>
      <c r="B44" s="31">
        <f>SUM(B45:B76)</f>
        <v>473998</v>
      </c>
      <c r="C44" s="31">
        <f>SUM(C45:C76)</f>
        <v>866965</v>
      </c>
      <c r="D44" s="31">
        <f t="shared" ref="D44" si="7">C44/B44*1000</f>
        <v>1829.0478018894594</v>
      </c>
      <c r="E44" s="31">
        <v>467979</v>
      </c>
      <c r="F44" s="31">
        <v>904548</v>
      </c>
      <c r="G44" s="31">
        <f t="shared" ref="G44:G74" si="8">F44/E44*1000</f>
        <v>1932.8816036617027</v>
      </c>
      <c r="H44" s="31">
        <f>SUM(H45:H76)</f>
        <v>452623</v>
      </c>
      <c r="I44" s="31">
        <f>SUM(I45:I76)</f>
        <v>881618</v>
      </c>
      <c r="J44" s="31">
        <f t="shared" ref="J44" si="9">I44/H44*1000</f>
        <v>1947.7976152338701</v>
      </c>
    </row>
    <row r="45" spans="1:10" s="61" customFormat="1" ht="17.100000000000001" customHeight="1" x14ac:dyDescent="0.2">
      <c r="A45" s="3" t="s">
        <v>39</v>
      </c>
      <c r="B45" s="30">
        <v>15558</v>
      </c>
      <c r="C45" s="30">
        <v>23056</v>
      </c>
      <c r="D45" s="30">
        <f t="shared" ref="D45:D74" si="10">C45/B45*1000</f>
        <v>1481.9385525131765</v>
      </c>
      <c r="E45" s="30">
        <v>17649</v>
      </c>
      <c r="F45" s="30">
        <v>24488</v>
      </c>
      <c r="G45" s="30">
        <f t="shared" si="8"/>
        <v>1387.5007082554253</v>
      </c>
      <c r="H45" s="30">
        <v>15161</v>
      </c>
      <c r="I45" s="30">
        <v>21179</v>
      </c>
      <c r="J45" s="30">
        <f t="shared" ref="J45:J74" si="11">I45/H45*1000</f>
        <v>1396.9395158630698</v>
      </c>
    </row>
    <row r="46" spans="1:10" s="61" customFormat="1" ht="17.100000000000001" customHeight="1" x14ac:dyDescent="0.2">
      <c r="A46" s="3" t="s">
        <v>94</v>
      </c>
      <c r="B46" s="30">
        <v>5870</v>
      </c>
      <c r="C46" s="30">
        <v>7503</v>
      </c>
      <c r="D46" s="30">
        <f t="shared" si="10"/>
        <v>1278.1942078364566</v>
      </c>
      <c r="E46" s="30">
        <v>6123</v>
      </c>
      <c r="F46" s="30">
        <v>7794</v>
      </c>
      <c r="G46" s="30">
        <f t="shared" si="8"/>
        <v>1272.9054385105342</v>
      </c>
      <c r="H46" s="30">
        <v>6125</v>
      </c>
      <c r="I46" s="30">
        <v>7798</v>
      </c>
      <c r="J46" s="30">
        <f t="shared" si="11"/>
        <v>1273.1428571428571</v>
      </c>
    </row>
    <row r="47" spans="1:10" s="61" customFormat="1" ht="17.100000000000001" customHeight="1" x14ac:dyDescent="0.2">
      <c r="A47" s="3" t="s">
        <v>46</v>
      </c>
      <c r="B47" s="30">
        <f>4876+744</f>
        <v>5620</v>
      </c>
      <c r="C47" s="30">
        <f>9170+594</f>
        <v>9764</v>
      </c>
      <c r="D47" s="30">
        <f t="shared" si="10"/>
        <v>1737.3665480427046</v>
      </c>
      <c r="E47" s="30">
        <f>4899+961</f>
        <v>5860</v>
      </c>
      <c r="F47" s="30">
        <f>776+10500</f>
        <v>11276</v>
      </c>
      <c r="G47" s="30">
        <f t="shared" si="8"/>
        <v>1924.2320819112629</v>
      </c>
      <c r="H47" s="30">
        <v>6479</v>
      </c>
      <c r="I47" s="30">
        <v>12628</v>
      </c>
      <c r="J47" s="30">
        <f t="shared" si="11"/>
        <v>1949.0662139219014</v>
      </c>
    </row>
    <row r="48" spans="1:10" s="61" customFormat="1" ht="17.100000000000001" customHeight="1" x14ac:dyDescent="0.2">
      <c r="A48" s="3" t="s">
        <v>42</v>
      </c>
      <c r="B48" s="30">
        <v>14438</v>
      </c>
      <c r="C48" s="30">
        <v>22452</v>
      </c>
      <c r="D48" s="30">
        <f t="shared" si="10"/>
        <v>1555.0630281202382</v>
      </c>
      <c r="E48" s="30">
        <v>18929</v>
      </c>
      <c r="F48" s="30">
        <v>35078</v>
      </c>
      <c r="G48" s="30">
        <f t="shared" si="8"/>
        <v>1853.1354007079085</v>
      </c>
      <c r="H48" s="30">
        <v>17503</v>
      </c>
      <c r="I48" s="30">
        <v>30726</v>
      </c>
      <c r="J48" s="30">
        <f t="shared" si="11"/>
        <v>1755.4704907730104</v>
      </c>
    </row>
    <row r="49" spans="1:10" s="61" customFormat="1" ht="17.100000000000001" customHeight="1" x14ac:dyDescent="0.2">
      <c r="A49" s="3" t="s">
        <v>51</v>
      </c>
      <c r="B49" s="30">
        <v>48701</v>
      </c>
      <c r="C49" s="30">
        <v>73877</v>
      </c>
      <c r="D49" s="30">
        <f t="shared" si="10"/>
        <v>1516.9503706289397</v>
      </c>
      <c r="E49" s="30">
        <v>49078</v>
      </c>
      <c r="F49" s="30">
        <v>74401</v>
      </c>
      <c r="G49" s="30">
        <f t="shared" si="8"/>
        <v>1515.9745710909165</v>
      </c>
      <c r="H49" s="30">
        <v>48935</v>
      </c>
      <c r="I49" s="30">
        <v>73085</v>
      </c>
      <c r="J49" s="30">
        <f t="shared" si="11"/>
        <v>1493.5118013691633</v>
      </c>
    </row>
    <row r="50" spans="1:10" s="61" customFormat="1" ht="17.100000000000001" customHeight="1" x14ac:dyDescent="0.2">
      <c r="A50" s="3" t="s">
        <v>33</v>
      </c>
      <c r="B50" s="30">
        <v>12649</v>
      </c>
      <c r="C50" s="30">
        <v>28247</v>
      </c>
      <c r="D50" s="30">
        <f t="shared" si="10"/>
        <v>2233.1409597596648</v>
      </c>
      <c r="E50" s="30">
        <v>16855</v>
      </c>
      <c r="F50" s="30">
        <v>29090</v>
      </c>
      <c r="G50" s="30">
        <f t="shared" si="8"/>
        <v>1725.8973598338771</v>
      </c>
      <c r="H50" s="30">
        <v>15943</v>
      </c>
      <c r="I50" s="30">
        <v>49115</v>
      </c>
      <c r="J50" s="30">
        <f t="shared" si="11"/>
        <v>3080.6623596562758</v>
      </c>
    </row>
    <row r="51" spans="1:10" s="61" customFormat="1" ht="17.100000000000001" customHeight="1" x14ac:dyDescent="0.2">
      <c r="A51" s="3" t="s">
        <v>48</v>
      </c>
      <c r="B51" s="30">
        <v>5516</v>
      </c>
      <c r="C51" s="30">
        <v>14328</v>
      </c>
      <c r="D51" s="30">
        <f t="shared" si="10"/>
        <v>2597.5344452501813</v>
      </c>
      <c r="E51" s="30">
        <v>5517</v>
      </c>
      <c r="F51" s="30">
        <v>13903</v>
      </c>
      <c r="G51" s="30">
        <f t="shared" si="8"/>
        <v>2520.0290012688056</v>
      </c>
      <c r="H51" s="30">
        <v>5618</v>
      </c>
      <c r="I51" s="30">
        <v>13444</v>
      </c>
      <c r="J51" s="30">
        <f t="shared" si="11"/>
        <v>2393.0224279102881</v>
      </c>
    </row>
    <row r="52" spans="1:10" s="61" customFormat="1" ht="17.100000000000001" customHeight="1" x14ac:dyDescent="0.2">
      <c r="A52" s="3" t="s">
        <v>44</v>
      </c>
      <c r="B52" s="30">
        <f>2080+300</f>
        <v>2380</v>
      </c>
      <c r="C52" s="30">
        <f>5240+211</f>
        <v>5451</v>
      </c>
      <c r="D52" s="30">
        <f t="shared" si="10"/>
        <v>2290.3361344537816</v>
      </c>
      <c r="E52" s="30">
        <f>2369+325</f>
        <v>2694</v>
      </c>
      <c r="F52" s="30">
        <f>5969+226</f>
        <v>6195</v>
      </c>
      <c r="G52" s="30">
        <f t="shared" si="8"/>
        <v>2299.5545657015591</v>
      </c>
      <c r="H52" s="30">
        <v>2532</v>
      </c>
      <c r="I52" s="30">
        <v>5764</v>
      </c>
      <c r="J52" s="30">
        <f t="shared" si="11"/>
        <v>2276.4612954186414</v>
      </c>
    </row>
    <row r="53" spans="1:10" s="61" customFormat="1" ht="17.100000000000001" customHeight="1" x14ac:dyDescent="0.2">
      <c r="A53" s="3" t="s">
        <v>80</v>
      </c>
      <c r="B53" s="30">
        <v>20773</v>
      </c>
      <c r="C53" s="30">
        <v>30058</v>
      </c>
      <c r="D53" s="30">
        <f t="shared" si="10"/>
        <v>1446.9744379723679</v>
      </c>
      <c r="E53" s="30">
        <v>20945</v>
      </c>
      <c r="F53" s="30">
        <v>48953</v>
      </c>
      <c r="G53" s="30">
        <f t="shared" si="8"/>
        <v>2337.2165194557174</v>
      </c>
      <c r="H53" s="30">
        <v>20970</v>
      </c>
      <c r="I53" s="30">
        <v>51740</v>
      </c>
      <c r="J53" s="30">
        <f t="shared" si="11"/>
        <v>2467.3342870767765</v>
      </c>
    </row>
    <row r="54" spans="1:10" s="61" customFormat="1" ht="17.100000000000001" customHeight="1" x14ac:dyDescent="0.2">
      <c r="A54" s="3" t="s">
        <v>81</v>
      </c>
      <c r="B54" s="30">
        <v>5835</v>
      </c>
      <c r="C54" s="30">
        <v>11696</v>
      </c>
      <c r="D54" s="30">
        <f t="shared" si="10"/>
        <v>2004.4558697514994</v>
      </c>
      <c r="E54" s="30">
        <v>5842</v>
      </c>
      <c r="F54" s="30">
        <v>11686</v>
      </c>
      <c r="G54" s="30">
        <f t="shared" si="8"/>
        <v>2000.3423485107842</v>
      </c>
      <c r="H54" s="30">
        <v>5837</v>
      </c>
      <c r="I54" s="30">
        <v>11706</v>
      </c>
      <c r="J54" s="30">
        <f t="shared" si="11"/>
        <v>2005.4822682885044</v>
      </c>
    </row>
    <row r="55" spans="1:10" s="61" customFormat="1" ht="17.100000000000001" customHeight="1" x14ac:dyDescent="0.2">
      <c r="A55" s="3" t="s">
        <v>37</v>
      </c>
      <c r="B55" s="30">
        <v>6163</v>
      </c>
      <c r="C55" s="30">
        <v>6690</v>
      </c>
      <c r="D55" s="30">
        <f t="shared" si="10"/>
        <v>1085.5103034236572</v>
      </c>
      <c r="E55" s="30">
        <v>5493</v>
      </c>
      <c r="F55" s="30">
        <v>5963</v>
      </c>
      <c r="G55" s="30">
        <f t="shared" si="8"/>
        <v>1085.5634443837612</v>
      </c>
      <c r="H55" s="30">
        <v>7262</v>
      </c>
      <c r="I55" s="30">
        <v>6554</v>
      </c>
      <c r="J55" s="30">
        <f t="shared" si="11"/>
        <v>902.5061966400441</v>
      </c>
    </row>
    <row r="56" spans="1:10" s="61" customFormat="1" ht="17.100000000000001" customHeight="1" x14ac:dyDescent="0.2">
      <c r="A56" s="3" t="s">
        <v>40</v>
      </c>
      <c r="B56" s="30">
        <v>39534</v>
      </c>
      <c r="C56" s="30">
        <v>52112</v>
      </c>
      <c r="D56" s="30">
        <f t="shared" si="10"/>
        <v>1318.1565234987606</v>
      </c>
      <c r="E56" s="30">
        <v>32351</v>
      </c>
      <c r="F56" s="30">
        <v>41997</v>
      </c>
      <c r="G56" s="30">
        <f t="shared" si="8"/>
        <v>1298.1669809279465</v>
      </c>
      <c r="H56" s="30">
        <v>32337</v>
      </c>
      <c r="I56" s="30">
        <v>41279</v>
      </c>
      <c r="J56" s="30">
        <f t="shared" si="11"/>
        <v>1276.5253424869345</v>
      </c>
    </row>
    <row r="57" spans="1:10" s="61" customFormat="1" ht="17.100000000000001" customHeight="1" x14ac:dyDescent="0.2">
      <c r="A57" s="3" t="s">
        <v>38</v>
      </c>
      <c r="B57" s="30">
        <v>115</v>
      </c>
      <c r="C57" s="30">
        <v>123</v>
      </c>
      <c r="D57" s="30">
        <f t="shared" si="10"/>
        <v>1069.5652173913045</v>
      </c>
      <c r="E57" s="30">
        <v>65</v>
      </c>
      <c r="F57" s="30">
        <v>60</v>
      </c>
      <c r="G57" s="30">
        <f t="shared" si="8"/>
        <v>923.07692307692309</v>
      </c>
      <c r="H57" s="30">
        <v>42</v>
      </c>
      <c r="I57" s="30">
        <v>43</v>
      </c>
      <c r="J57" s="30">
        <f t="shared" si="11"/>
        <v>1023.8095238095237</v>
      </c>
    </row>
    <row r="58" spans="1:10" s="61" customFormat="1" ht="17.100000000000001" customHeight="1" x14ac:dyDescent="0.2">
      <c r="A58" s="3" t="s">
        <v>87</v>
      </c>
      <c r="B58" s="30">
        <v>1458</v>
      </c>
      <c r="C58" s="30">
        <v>2615</v>
      </c>
      <c r="D58" s="30">
        <f t="shared" si="10"/>
        <v>1793.5528120713307</v>
      </c>
      <c r="E58" s="30">
        <v>1700</v>
      </c>
      <c r="F58" s="30">
        <v>3075</v>
      </c>
      <c r="G58" s="30">
        <f t="shared" si="8"/>
        <v>1808.8235294117646</v>
      </c>
      <c r="H58" s="30">
        <v>1694</v>
      </c>
      <c r="I58" s="30">
        <v>3067</v>
      </c>
      <c r="J58" s="30">
        <f t="shared" si="11"/>
        <v>1810.5076741440378</v>
      </c>
    </row>
    <row r="59" spans="1:10" s="61" customFormat="1" ht="17.100000000000001" customHeight="1" x14ac:dyDescent="0.2">
      <c r="A59" s="3" t="s">
        <v>36</v>
      </c>
      <c r="B59" s="30">
        <f>1308+1547</f>
        <v>2855</v>
      </c>
      <c r="C59" s="30">
        <f>1826+2148</f>
        <v>3974</v>
      </c>
      <c r="D59" s="30">
        <f t="shared" si="10"/>
        <v>1391.9439579684763</v>
      </c>
      <c r="E59" s="30">
        <f>977+1559</f>
        <v>2536</v>
      </c>
      <c r="F59" s="30">
        <f>2167+1364</f>
        <v>3531</v>
      </c>
      <c r="G59" s="30">
        <f t="shared" si="8"/>
        <v>1392.3501577287066</v>
      </c>
      <c r="H59" s="30">
        <v>2408</v>
      </c>
      <c r="I59" s="30">
        <v>3562</v>
      </c>
      <c r="J59" s="30">
        <f t="shared" si="11"/>
        <v>1479.235880398671</v>
      </c>
    </row>
    <row r="60" spans="1:10" s="61" customFormat="1" ht="17.100000000000001" customHeight="1" x14ac:dyDescent="0.2">
      <c r="A60" s="3" t="s">
        <v>43</v>
      </c>
      <c r="B60" s="30">
        <v>26393</v>
      </c>
      <c r="C60" s="30">
        <v>59685</v>
      </c>
      <c r="D60" s="30">
        <f t="shared" si="10"/>
        <v>2261.3950668737921</v>
      </c>
      <c r="E60" s="30">
        <v>26400</v>
      </c>
      <c r="F60" s="30">
        <v>60048</v>
      </c>
      <c r="G60" s="30">
        <f t="shared" si="8"/>
        <v>2274.5454545454545</v>
      </c>
      <c r="H60" s="30">
        <v>26404</v>
      </c>
      <c r="I60" s="30">
        <v>60190</v>
      </c>
      <c r="J60" s="30">
        <f t="shared" si="11"/>
        <v>2279.578851689138</v>
      </c>
    </row>
    <row r="61" spans="1:10" s="61" customFormat="1" ht="17.100000000000001" customHeight="1" x14ac:dyDescent="0.2">
      <c r="A61" s="3" t="s">
        <v>88</v>
      </c>
      <c r="B61" s="30">
        <v>2327</v>
      </c>
      <c r="C61" s="30">
        <v>4395</v>
      </c>
      <c r="D61" s="30">
        <f t="shared" si="10"/>
        <v>1888.6978942844864</v>
      </c>
      <c r="E61" s="30">
        <v>2447</v>
      </c>
      <c r="F61" s="30">
        <v>3949</v>
      </c>
      <c r="G61" s="30">
        <f t="shared" si="8"/>
        <v>1613.8128320392318</v>
      </c>
      <c r="H61" s="30">
        <v>2444</v>
      </c>
      <c r="I61" s="30">
        <v>3943</v>
      </c>
      <c r="J61" s="30">
        <f t="shared" si="11"/>
        <v>1613.3387888707039</v>
      </c>
    </row>
    <row r="62" spans="1:10" s="61" customFormat="1" ht="17.100000000000001" customHeight="1" x14ac:dyDescent="0.2">
      <c r="A62" s="3" t="s">
        <v>47</v>
      </c>
      <c r="B62" s="30">
        <v>588</v>
      </c>
      <c r="C62" s="30">
        <v>1071</v>
      </c>
      <c r="D62" s="30">
        <f t="shared" si="10"/>
        <v>1821.4285714285713</v>
      </c>
      <c r="E62" s="30">
        <v>1385</v>
      </c>
      <c r="F62" s="30">
        <v>2564</v>
      </c>
      <c r="G62" s="30">
        <f t="shared" si="8"/>
        <v>1851.2635379061373</v>
      </c>
      <c r="H62" s="30">
        <v>1369</v>
      </c>
      <c r="I62" s="30">
        <v>2556</v>
      </c>
      <c r="J62" s="30">
        <f t="shared" si="11"/>
        <v>1867.0562454346239</v>
      </c>
    </row>
    <row r="63" spans="1:10" s="61" customFormat="1" ht="17.100000000000001" customHeight="1" x14ac:dyDescent="0.2">
      <c r="A63" s="3" t="s">
        <v>52</v>
      </c>
      <c r="B63" s="30">
        <v>4720</v>
      </c>
      <c r="C63" s="30">
        <v>10736</v>
      </c>
      <c r="D63" s="30">
        <f t="shared" si="10"/>
        <v>2274.5762711864404</v>
      </c>
      <c r="E63" s="30">
        <v>4735</v>
      </c>
      <c r="F63" s="30">
        <v>10936</v>
      </c>
      <c r="G63" s="30">
        <f t="shared" si="8"/>
        <v>2309.6092925026401</v>
      </c>
      <c r="H63" s="30">
        <v>4745</v>
      </c>
      <c r="I63" s="30">
        <v>11055</v>
      </c>
      <c r="J63" s="30">
        <f t="shared" si="11"/>
        <v>2329.8208640674397</v>
      </c>
    </row>
    <row r="64" spans="1:10" s="61" customFormat="1" ht="17.100000000000001" customHeight="1" x14ac:dyDescent="0.2">
      <c r="A64" s="3" t="s">
        <v>41</v>
      </c>
      <c r="B64" s="30">
        <v>63380</v>
      </c>
      <c r="C64" s="30">
        <v>105554</v>
      </c>
      <c r="D64" s="30">
        <f t="shared" si="10"/>
        <v>1665.4149573998106</v>
      </c>
      <c r="E64" s="30">
        <v>52224</v>
      </c>
      <c r="F64" s="30">
        <v>110154</v>
      </c>
      <c r="G64" s="30">
        <f t="shared" si="8"/>
        <v>2109.2601102941176</v>
      </c>
      <c r="H64" s="30">
        <v>46956</v>
      </c>
      <c r="I64" s="30">
        <v>100378</v>
      </c>
      <c r="J64" s="30">
        <f t="shared" si="11"/>
        <v>2137.7033818894283</v>
      </c>
    </row>
    <row r="65" spans="1:10" s="61" customFormat="1" ht="17.100000000000001" customHeight="1" x14ac:dyDescent="0.2">
      <c r="A65" s="3" t="s">
        <v>34</v>
      </c>
      <c r="B65" s="30">
        <v>25041</v>
      </c>
      <c r="C65" s="30">
        <v>79033</v>
      </c>
      <c r="D65" s="30">
        <f t="shared" si="10"/>
        <v>3156.1439239646979</v>
      </c>
      <c r="E65" s="30">
        <v>25170</v>
      </c>
      <c r="F65" s="30">
        <v>80653</v>
      </c>
      <c r="G65" s="30">
        <f t="shared" si="8"/>
        <v>3204.3305522447358</v>
      </c>
      <c r="H65" s="30">
        <v>24025</v>
      </c>
      <c r="I65" s="30">
        <v>76442</v>
      </c>
      <c r="J65" s="30">
        <f t="shared" si="11"/>
        <v>3181.7689906347555</v>
      </c>
    </row>
    <row r="66" spans="1:10" s="61" customFormat="1" ht="17.100000000000001" customHeight="1" x14ac:dyDescent="0.2">
      <c r="A66" s="3" t="s">
        <v>89</v>
      </c>
      <c r="B66" s="30">
        <v>115</v>
      </c>
      <c r="C66" s="30">
        <v>110</v>
      </c>
      <c r="D66" s="30">
        <f t="shared" si="10"/>
        <v>956.52173913043487</v>
      </c>
      <c r="E66" s="30">
        <v>245</v>
      </c>
      <c r="F66" s="30">
        <v>234</v>
      </c>
      <c r="G66" s="30">
        <f t="shared" si="8"/>
        <v>955.10204081632651</v>
      </c>
      <c r="H66" s="30">
        <v>251</v>
      </c>
      <c r="I66" s="30">
        <v>240</v>
      </c>
      <c r="J66" s="30">
        <f t="shared" si="11"/>
        <v>956.17529880478094</v>
      </c>
    </row>
    <row r="67" spans="1:10" s="61" customFormat="1" ht="17.100000000000001" customHeight="1" x14ac:dyDescent="0.2">
      <c r="A67" s="3" t="s">
        <v>91</v>
      </c>
      <c r="B67" s="30">
        <v>2823</v>
      </c>
      <c r="C67" s="30">
        <v>1300</v>
      </c>
      <c r="D67" s="30">
        <f t="shared" si="10"/>
        <v>460.50301098122566</v>
      </c>
      <c r="E67" s="30">
        <v>3571</v>
      </c>
      <c r="F67" s="30">
        <v>1829</v>
      </c>
      <c r="G67" s="30">
        <f t="shared" si="8"/>
        <v>512.18146177541303</v>
      </c>
      <c r="H67" s="30">
        <v>3574</v>
      </c>
      <c r="I67" s="30">
        <v>1830</v>
      </c>
      <c r="J67" s="30">
        <f t="shared" si="11"/>
        <v>512.03133743704529</v>
      </c>
    </row>
    <row r="68" spans="1:10" s="61" customFormat="1" ht="17.100000000000001" customHeight="1" x14ac:dyDescent="0.2">
      <c r="A68" s="3" t="s">
        <v>32</v>
      </c>
      <c r="B68" s="30">
        <v>9308</v>
      </c>
      <c r="C68" s="30">
        <v>26901</v>
      </c>
      <c r="D68" s="30">
        <f t="shared" si="10"/>
        <v>2890.0945423291791</v>
      </c>
      <c r="E68" s="30">
        <v>10409</v>
      </c>
      <c r="F68" s="30">
        <v>30758</v>
      </c>
      <c r="G68" s="30">
        <f t="shared" si="8"/>
        <v>2954.9428379287156</v>
      </c>
      <c r="H68" s="30">
        <v>10370</v>
      </c>
      <c r="I68" s="30">
        <v>31006</v>
      </c>
      <c r="J68" s="30">
        <f t="shared" si="11"/>
        <v>2989.9710703953715</v>
      </c>
    </row>
    <row r="69" spans="1:10" s="61" customFormat="1" ht="17.100000000000001" customHeight="1" x14ac:dyDescent="0.2">
      <c r="A69" s="3" t="s">
        <v>90</v>
      </c>
      <c r="B69" s="30">
        <v>4533</v>
      </c>
      <c r="C69" s="30">
        <v>5034</v>
      </c>
      <c r="D69" s="30">
        <f t="shared" si="10"/>
        <v>1110.5228325612177</v>
      </c>
      <c r="E69" s="30">
        <v>4560</v>
      </c>
      <c r="F69" s="30">
        <v>5067</v>
      </c>
      <c r="G69" s="30">
        <f t="shared" si="8"/>
        <v>1111.1842105263158</v>
      </c>
      <c r="H69" s="30">
        <v>4573</v>
      </c>
      <c r="I69" s="30">
        <v>5080</v>
      </c>
      <c r="J69" s="30">
        <f t="shared" si="11"/>
        <v>1110.8681390771922</v>
      </c>
    </row>
    <row r="70" spans="1:10" s="61" customFormat="1" ht="17.100000000000001" customHeight="1" x14ac:dyDescent="0.2">
      <c r="A70" s="3" t="s">
        <v>31</v>
      </c>
      <c r="B70" s="30">
        <f>16367+705</f>
        <v>17072</v>
      </c>
      <c r="C70" s="30">
        <f>30223+140</f>
        <v>30363</v>
      </c>
      <c r="D70" s="30">
        <f t="shared" si="10"/>
        <v>1778.5262417994377</v>
      </c>
      <c r="E70" s="30">
        <f>16292+708</f>
        <v>17000</v>
      </c>
      <c r="F70" s="30">
        <f>720+30098</f>
        <v>30818</v>
      </c>
      <c r="G70" s="30">
        <f t="shared" si="8"/>
        <v>1812.8235294117646</v>
      </c>
      <c r="H70" s="30">
        <v>16917</v>
      </c>
      <c r="I70" s="30">
        <v>31011</v>
      </c>
      <c r="J70" s="30">
        <f t="shared" si="11"/>
        <v>1833.1264408583081</v>
      </c>
    </row>
    <row r="71" spans="1:10" s="61" customFormat="1" ht="17.100000000000001" customHeight="1" x14ac:dyDescent="0.2">
      <c r="A71" s="3" t="s">
        <v>92</v>
      </c>
      <c r="B71" s="30">
        <v>2901</v>
      </c>
      <c r="C71" s="30">
        <v>1351</v>
      </c>
      <c r="D71" s="30">
        <f t="shared" si="10"/>
        <v>465.70148224750085</v>
      </c>
      <c r="E71" s="30">
        <v>3291</v>
      </c>
      <c r="F71" s="30">
        <v>1878</v>
      </c>
      <c r="G71" s="30">
        <f t="shared" si="8"/>
        <v>570.64721969006382</v>
      </c>
      <c r="H71" s="30">
        <v>3296</v>
      </c>
      <c r="I71" s="30">
        <v>1881</v>
      </c>
      <c r="J71" s="30">
        <f t="shared" si="11"/>
        <v>570.69174757281553</v>
      </c>
    </row>
    <row r="72" spans="1:10" s="61" customFormat="1" ht="17.100000000000001" customHeight="1" x14ac:dyDescent="0.2">
      <c r="A72" s="3" t="s">
        <v>50</v>
      </c>
      <c r="B72" s="30">
        <v>36770</v>
      </c>
      <c r="C72" s="30">
        <v>61425</v>
      </c>
      <c r="D72" s="30">
        <f t="shared" si="10"/>
        <v>1670.5194451998912</v>
      </c>
      <c r="E72" s="30">
        <v>36460</v>
      </c>
      <c r="F72" s="30">
        <v>60925</v>
      </c>
      <c r="G72" s="30">
        <f t="shared" si="8"/>
        <v>1671.0093252879867</v>
      </c>
      <c r="H72" s="30">
        <v>36815</v>
      </c>
      <c r="I72" s="30">
        <v>57414</v>
      </c>
      <c r="J72" s="30">
        <f t="shared" si="11"/>
        <v>1559.5273665625425</v>
      </c>
    </row>
    <row r="73" spans="1:10" s="61" customFormat="1" ht="17.100000000000001" customHeight="1" x14ac:dyDescent="0.2">
      <c r="A73" s="3" t="s">
        <v>35</v>
      </c>
      <c r="B73" s="30">
        <v>29674</v>
      </c>
      <c r="C73" s="30">
        <v>66394</v>
      </c>
      <c r="D73" s="30">
        <f t="shared" si="10"/>
        <v>2237.4469232324591</v>
      </c>
      <c r="E73" s="30">
        <v>27896</v>
      </c>
      <c r="F73" s="30">
        <v>64163</v>
      </c>
      <c r="G73" s="30">
        <f t="shared" si="8"/>
        <v>2300.0788643533119</v>
      </c>
      <c r="H73" s="30">
        <v>25890</v>
      </c>
      <c r="I73" s="30">
        <v>57464</v>
      </c>
      <c r="J73" s="30">
        <f t="shared" si="11"/>
        <v>2219.544225569718</v>
      </c>
    </row>
    <row r="74" spans="1:10" s="61" customFormat="1" ht="17.100000000000001" customHeight="1" x14ac:dyDescent="0.2">
      <c r="A74" s="3" t="s">
        <v>49</v>
      </c>
      <c r="B74" s="30">
        <v>60888</v>
      </c>
      <c r="C74" s="30">
        <v>121667</v>
      </c>
      <c r="D74" s="30">
        <f t="shared" si="10"/>
        <v>1998.2098278806991</v>
      </c>
      <c r="E74" s="30">
        <v>60549</v>
      </c>
      <c r="F74" s="30">
        <v>123082</v>
      </c>
      <c r="G74" s="30">
        <f t="shared" si="8"/>
        <v>2032.7668499892648</v>
      </c>
      <c r="H74" s="30">
        <v>56148</v>
      </c>
      <c r="I74" s="30">
        <v>109438</v>
      </c>
      <c r="J74" s="30">
        <f t="shared" si="11"/>
        <v>1949.0988102870983</v>
      </c>
    </row>
    <row r="75" spans="1:10" s="61" customFormat="1" ht="17.100000000000001" customHeight="1" x14ac:dyDescent="0.2">
      <c r="A75" s="3" t="s">
        <v>45</v>
      </c>
      <c r="B75" s="30" t="s">
        <v>103</v>
      </c>
      <c r="C75" s="30" t="s">
        <v>103</v>
      </c>
      <c r="D75" s="30" t="s">
        <v>103</v>
      </c>
      <c r="E75" s="30" t="s">
        <v>103</v>
      </c>
      <c r="F75" s="30" t="s">
        <v>103</v>
      </c>
      <c r="G75" s="30" t="s">
        <v>103</v>
      </c>
      <c r="H75" s="30" t="s">
        <v>103</v>
      </c>
      <c r="I75" s="30" t="s">
        <v>103</v>
      </c>
      <c r="J75" s="30" t="s">
        <v>103</v>
      </c>
    </row>
    <row r="76" spans="1:10" s="61" customFormat="1" ht="17.100000000000001" customHeight="1" x14ac:dyDescent="0.2">
      <c r="A76" s="3" t="s">
        <v>79</v>
      </c>
      <c r="B76" s="30" t="s">
        <v>103</v>
      </c>
      <c r="C76" s="30" t="s">
        <v>103</v>
      </c>
      <c r="D76" s="30" t="s">
        <v>103</v>
      </c>
      <c r="E76" s="30" t="s">
        <v>103</v>
      </c>
      <c r="F76" s="30" t="s">
        <v>103</v>
      </c>
      <c r="G76" s="30" t="s">
        <v>103</v>
      </c>
      <c r="H76" s="30" t="s">
        <v>103</v>
      </c>
      <c r="I76" s="30" t="s">
        <v>103</v>
      </c>
      <c r="J76" s="30" t="s">
        <v>103</v>
      </c>
    </row>
    <row r="77" spans="1:10" x14ac:dyDescent="0.2">
      <c r="B77" s="13"/>
      <c r="C77" s="13"/>
      <c r="D77" s="13"/>
      <c r="E77" s="13"/>
      <c r="F77" s="13"/>
      <c r="G77" s="13"/>
      <c r="I77" s="13"/>
      <c r="J77" s="13"/>
    </row>
    <row r="78" spans="1:10" s="8" customFormat="1" ht="12" x14ac:dyDescent="0.2">
      <c r="J78" s="53" t="s">
        <v>99</v>
      </c>
    </row>
    <row r="79" spans="1:10" ht="60" customHeight="1" x14ac:dyDescent="0.2">
      <c r="A79" s="73" t="s">
        <v>71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s="8" customFormat="1" ht="12.75" customHeight="1" x14ac:dyDescent="0.2">
      <c r="A80" s="8" t="s">
        <v>55</v>
      </c>
      <c r="B80" s="15"/>
      <c r="C80" s="15"/>
      <c r="D80" s="15"/>
      <c r="E80" s="15"/>
      <c r="F80" s="15"/>
      <c r="I80" s="15"/>
      <c r="J80" s="15"/>
    </row>
    <row r="81" spans="1:10" ht="20.100000000000001" customHeight="1" x14ac:dyDescent="0.2">
      <c r="A81" s="76" t="s">
        <v>30</v>
      </c>
      <c r="B81" s="75" t="s">
        <v>86</v>
      </c>
      <c r="C81" s="75"/>
      <c r="D81" s="75"/>
      <c r="E81" s="75" t="s">
        <v>95</v>
      </c>
      <c r="F81" s="75"/>
      <c r="G81" s="75"/>
      <c r="H81" s="75" t="s">
        <v>102</v>
      </c>
      <c r="I81" s="75"/>
      <c r="J81" s="75"/>
    </row>
    <row r="82" spans="1:10" ht="39.950000000000003" customHeight="1" x14ac:dyDescent="0.2">
      <c r="A82" s="76"/>
      <c r="B82" s="63" t="s">
        <v>98</v>
      </c>
      <c r="C82" s="63" t="s">
        <v>96</v>
      </c>
      <c r="D82" s="63" t="s">
        <v>97</v>
      </c>
      <c r="E82" s="63" t="s">
        <v>98</v>
      </c>
      <c r="F82" s="63" t="s">
        <v>96</v>
      </c>
      <c r="G82" s="63" t="s">
        <v>97</v>
      </c>
      <c r="H82" s="63" t="s">
        <v>98</v>
      </c>
      <c r="I82" s="63" t="s">
        <v>96</v>
      </c>
      <c r="J82" s="63" t="s">
        <v>97</v>
      </c>
    </row>
    <row r="83" spans="1:10" ht="25.5" customHeight="1" x14ac:dyDescent="0.2">
      <c r="A83" s="6" t="s">
        <v>68</v>
      </c>
      <c r="B83" s="32">
        <f>SUM(B84:B115)</f>
        <v>61620</v>
      </c>
      <c r="C83" s="32">
        <f>SUM(C84:C115)</f>
        <v>147525</v>
      </c>
      <c r="D83" s="32">
        <f>C83/B83*1000</f>
        <v>2394.1090555014607</v>
      </c>
      <c r="E83" s="32">
        <f t="shared" ref="E83:F83" si="12">SUM(E84:E115)</f>
        <v>62286</v>
      </c>
      <c r="F83" s="32">
        <f t="shared" si="12"/>
        <v>153771</v>
      </c>
      <c r="G83" s="32">
        <f>F83/E83*1000</f>
        <v>2468.7891339947982</v>
      </c>
      <c r="H83" s="32">
        <f>SUM(H84:H115)</f>
        <v>64891</v>
      </c>
      <c r="I83" s="32">
        <f>SUM(I84:I115)</f>
        <v>158491</v>
      </c>
      <c r="J83" s="32">
        <f>I83/H83*1000</f>
        <v>2442.4188254149267</v>
      </c>
    </row>
    <row r="84" spans="1:10" s="61" customFormat="1" ht="17.100000000000001" customHeight="1" x14ac:dyDescent="0.2">
      <c r="A84" s="3" t="s">
        <v>39</v>
      </c>
      <c r="B84" s="30" t="s">
        <v>103</v>
      </c>
      <c r="C84" s="30" t="s">
        <v>103</v>
      </c>
      <c r="D84" s="30" t="s">
        <v>103</v>
      </c>
      <c r="E84" s="30" t="s">
        <v>103</v>
      </c>
      <c r="F84" s="30" t="s">
        <v>103</v>
      </c>
      <c r="G84" s="30" t="s">
        <v>103</v>
      </c>
      <c r="H84" s="30" t="s">
        <v>103</v>
      </c>
      <c r="I84" s="30" t="s">
        <v>103</v>
      </c>
      <c r="J84" s="33" t="s">
        <v>103</v>
      </c>
    </row>
    <row r="85" spans="1:10" s="61" customFormat="1" ht="17.100000000000001" customHeight="1" x14ac:dyDescent="0.2">
      <c r="A85" s="3" t="s">
        <v>94</v>
      </c>
      <c r="B85" s="33">
        <v>4711</v>
      </c>
      <c r="C85" s="33">
        <v>7028</v>
      </c>
      <c r="D85" s="33">
        <f t="shared" ref="D85:D94" si="13">C85/B85*1000</f>
        <v>1491.8276374442794</v>
      </c>
      <c r="E85" s="33">
        <v>4700</v>
      </c>
      <c r="F85" s="33">
        <v>7035</v>
      </c>
      <c r="G85" s="33">
        <f t="shared" ref="G85:G94" si="14">F85/E85*1000</f>
        <v>1496.8085106382978</v>
      </c>
      <c r="H85" s="33">
        <v>4773</v>
      </c>
      <c r="I85" s="33">
        <v>7144</v>
      </c>
      <c r="J85" s="33">
        <f t="shared" ref="J85:J94" si="15">I85/H85*1000</f>
        <v>1496.7525665200083</v>
      </c>
    </row>
    <row r="86" spans="1:10" s="61" customFormat="1" ht="17.100000000000001" customHeight="1" x14ac:dyDescent="0.2">
      <c r="A86" s="3" t="s">
        <v>46</v>
      </c>
      <c r="B86" s="33">
        <v>2884</v>
      </c>
      <c r="C86" s="33">
        <v>5185</v>
      </c>
      <c r="D86" s="33">
        <f t="shared" si="13"/>
        <v>1797.8502080443827</v>
      </c>
      <c r="E86" s="33">
        <f>2060+0</f>
        <v>2060</v>
      </c>
      <c r="F86" s="33">
        <v>3854</v>
      </c>
      <c r="G86" s="33">
        <f t="shared" si="14"/>
        <v>1870.8737864077668</v>
      </c>
      <c r="H86" s="33">
        <v>2819</v>
      </c>
      <c r="I86" s="33">
        <v>5330</v>
      </c>
      <c r="J86" s="33">
        <f t="shared" si="15"/>
        <v>1890.7413976587441</v>
      </c>
    </row>
    <row r="87" spans="1:10" s="61" customFormat="1" ht="17.100000000000001" customHeight="1" x14ac:dyDescent="0.2">
      <c r="A87" s="3" t="s">
        <v>42</v>
      </c>
      <c r="B87" s="33">
        <v>1561</v>
      </c>
      <c r="C87" s="33">
        <v>3443</v>
      </c>
      <c r="D87" s="33">
        <f t="shared" si="13"/>
        <v>2205.6374119154389</v>
      </c>
      <c r="E87" s="33">
        <v>1750</v>
      </c>
      <c r="F87" s="33">
        <v>3883</v>
      </c>
      <c r="G87" s="33">
        <f t="shared" si="14"/>
        <v>2218.8571428571427</v>
      </c>
      <c r="H87" s="33">
        <v>1738</v>
      </c>
      <c r="I87" s="33">
        <v>3856</v>
      </c>
      <c r="J87" s="33">
        <f t="shared" si="15"/>
        <v>2218.6421173762947</v>
      </c>
    </row>
    <row r="88" spans="1:10" s="61" customFormat="1" ht="17.100000000000001" customHeight="1" x14ac:dyDescent="0.2">
      <c r="A88" s="3" t="s">
        <v>51</v>
      </c>
      <c r="B88" s="33">
        <v>298</v>
      </c>
      <c r="C88" s="33">
        <v>635</v>
      </c>
      <c r="D88" s="33">
        <f t="shared" si="13"/>
        <v>2130.8724832214766</v>
      </c>
      <c r="E88" s="33">
        <v>229</v>
      </c>
      <c r="F88" s="33">
        <v>439</v>
      </c>
      <c r="G88" s="33">
        <f t="shared" si="14"/>
        <v>1917.0305676855894</v>
      </c>
      <c r="H88" s="33">
        <v>262</v>
      </c>
      <c r="I88" s="33">
        <v>502</v>
      </c>
      <c r="J88" s="33">
        <f t="shared" si="15"/>
        <v>1916.030534351145</v>
      </c>
    </row>
    <row r="89" spans="1:10" s="61" customFormat="1" ht="17.100000000000001" customHeight="1" x14ac:dyDescent="0.2">
      <c r="A89" s="3" t="s">
        <v>33</v>
      </c>
      <c r="B89" s="33">
        <v>43</v>
      </c>
      <c r="C89" s="33">
        <v>99</v>
      </c>
      <c r="D89" s="33">
        <f t="shared" si="13"/>
        <v>2302.3255813953488</v>
      </c>
      <c r="E89" s="33">
        <v>90</v>
      </c>
      <c r="F89" s="33">
        <v>199</v>
      </c>
      <c r="G89" s="33">
        <f t="shared" si="14"/>
        <v>2211.1111111111113</v>
      </c>
      <c r="H89" s="33">
        <v>114</v>
      </c>
      <c r="I89" s="33">
        <v>264</v>
      </c>
      <c r="J89" s="33">
        <f t="shared" si="15"/>
        <v>2315.7894736842104</v>
      </c>
    </row>
    <row r="90" spans="1:10" s="61" customFormat="1" ht="17.100000000000001" customHeight="1" x14ac:dyDescent="0.2">
      <c r="A90" s="3" t="s">
        <v>48</v>
      </c>
      <c r="B90" s="33">
        <v>1829</v>
      </c>
      <c r="C90" s="33">
        <v>4559</v>
      </c>
      <c r="D90" s="33">
        <f t="shared" si="13"/>
        <v>2492.6189174412248</v>
      </c>
      <c r="E90" s="33">
        <v>1831</v>
      </c>
      <c r="F90" s="33">
        <v>4566</v>
      </c>
      <c r="G90" s="33">
        <f t="shared" si="14"/>
        <v>2493.7192790824688</v>
      </c>
      <c r="H90" s="33">
        <v>1832</v>
      </c>
      <c r="I90" s="33">
        <v>5349</v>
      </c>
      <c r="J90" s="33">
        <f t="shared" si="15"/>
        <v>2919.759825327511</v>
      </c>
    </row>
    <row r="91" spans="1:10" s="61" customFormat="1" ht="17.100000000000001" customHeight="1" x14ac:dyDescent="0.2">
      <c r="A91" s="3" t="s">
        <v>44</v>
      </c>
      <c r="B91" s="33">
        <f>10469+83</f>
        <v>10552</v>
      </c>
      <c r="C91" s="33">
        <f>28474+108</f>
        <v>28582</v>
      </c>
      <c r="D91" s="33">
        <f t="shared" si="13"/>
        <v>2708.6808188021228</v>
      </c>
      <c r="E91" s="33">
        <f>10279+85</f>
        <v>10364</v>
      </c>
      <c r="F91" s="33">
        <f>27963+111</f>
        <v>28074</v>
      </c>
      <c r="G91" s="33">
        <f t="shared" si="14"/>
        <v>2708.799691238904</v>
      </c>
      <c r="H91" s="33">
        <v>11744</v>
      </c>
      <c r="I91" s="33">
        <v>31831</v>
      </c>
      <c r="J91" s="33">
        <f t="shared" si="15"/>
        <v>2710.4053133514985</v>
      </c>
    </row>
    <row r="92" spans="1:10" s="61" customFormat="1" ht="17.100000000000001" customHeight="1" x14ac:dyDescent="0.2">
      <c r="A92" s="3" t="s">
        <v>80</v>
      </c>
      <c r="B92" s="33">
        <v>9283</v>
      </c>
      <c r="C92" s="33">
        <v>21832</v>
      </c>
      <c r="D92" s="33">
        <f t="shared" si="13"/>
        <v>2351.8259183453629</v>
      </c>
      <c r="E92" s="33">
        <v>9425</v>
      </c>
      <c r="F92" s="33">
        <v>25127</v>
      </c>
      <c r="G92" s="33">
        <f t="shared" si="14"/>
        <v>2665.9946949602122</v>
      </c>
      <c r="H92" s="33">
        <v>9430</v>
      </c>
      <c r="I92" s="33">
        <v>25150</v>
      </c>
      <c r="J92" s="33">
        <f t="shared" si="15"/>
        <v>2667.0201484623544</v>
      </c>
    </row>
    <row r="93" spans="1:10" s="61" customFormat="1" ht="17.100000000000001" customHeight="1" x14ac:dyDescent="0.2">
      <c r="A93" s="3" t="s">
        <v>81</v>
      </c>
      <c r="B93" s="33">
        <v>7580</v>
      </c>
      <c r="C93" s="33">
        <v>14905</v>
      </c>
      <c r="D93" s="33">
        <f t="shared" si="13"/>
        <v>1966.3588390501318</v>
      </c>
      <c r="E93" s="33">
        <v>7594</v>
      </c>
      <c r="F93" s="33">
        <v>14652</v>
      </c>
      <c r="G93" s="33">
        <f t="shared" si="14"/>
        <v>1929.4179615485909</v>
      </c>
      <c r="H93" s="33">
        <v>7546</v>
      </c>
      <c r="I93" s="33">
        <v>14615</v>
      </c>
      <c r="J93" s="33">
        <f t="shared" si="15"/>
        <v>1936.7877020938245</v>
      </c>
    </row>
    <row r="94" spans="1:10" s="61" customFormat="1" ht="17.100000000000001" customHeight="1" x14ac:dyDescent="0.2">
      <c r="A94" s="3" t="s">
        <v>37</v>
      </c>
      <c r="B94" s="33">
        <v>152</v>
      </c>
      <c r="C94" s="33">
        <v>269</v>
      </c>
      <c r="D94" s="33">
        <f t="shared" si="13"/>
        <v>1769.7368421052631</v>
      </c>
      <c r="E94" s="33">
        <v>119</v>
      </c>
      <c r="F94" s="33">
        <v>211</v>
      </c>
      <c r="G94" s="33">
        <f t="shared" si="14"/>
        <v>1773.1092436974789</v>
      </c>
      <c r="H94" s="33">
        <v>406</v>
      </c>
      <c r="I94" s="33">
        <v>718</v>
      </c>
      <c r="J94" s="33">
        <f t="shared" si="15"/>
        <v>1768.4729064039409</v>
      </c>
    </row>
    <row r="95" spans="1:10" s="61" customFormat="1" ht="17.100000000000001" customHeight="1" x14ac:dyDescent="0.2">
      <c r="A95" s="3" t="s">
        <v>40</v>
      </c>
      <c r="B95" s="30" t="s">
        <v>103</v>
      </c>
      <c r="C95" s="30" t="s">
        <v>103</v>
      </c>
      <c r="D95" s="30" t="s">
        <v>103</v>
      </c>
      <c r="E95" s="30" t="s">
        <v>103</v>
      </c>
      <c r="F95" s="30" t="s">
        <v>103</v>
      </c>
      <c r="G95" s="30" t="s">
        <v>103</v>
      </c>
      <c r="H95" s="30" t="s">
        <v>103</v>
      </c>
      <c r="I95" s="30" t="s">
        <v>103</v>
      </c>
      <c r="J95" s="33" t="s">
        <v>103</v>
      </c>
    </row>
    <row r="96" spans="1:10" s="61" customFormat="1" ht="17.100000000000001" customHeight="1" x14ac:dyDescent="0.2">
      <c r="A96" s="3" t="s">
        <v>38</v>
      </c>
      <c r="B96" s="30" t="s">
        <v>103</v>
      </c>
      <c r="C96" s="30" t="s">
        <v>103</v>
      </c>
      <c r="D96" s="30" t="s">
        <v>103</v>
      </c>
      <c r="E96" s="30" t="s">
        <v>103</v>
      </c>
      <c r="F96" s="30" t="s">
        <v>103</v>
      </c>
      <c r="G96" s="30" t="s">
        <v>103</v>
      </c>
      <c r="H96" s="30" t="s">
        <v>103</v>
      </c>
      <c r="I96" s="30" t="s">
        <v>103</v>
      </c>
      <c r="J96" s="33" t="s">
        <v>103</v>
      </c>
    </row>
    <row r="97" spans="1:10" s="61" customFormat="1" ht="17.100000000000001" customHeight="1" x14ac:dyDescent="0.2">
      <c r="A97" s="3" t="s">
        <v>87</v>
      </c>
      <c r="B97" s="30" t="s">
        <v>103</v>
      </c>
      <c r="C97" s="30" t="s">
        <v>103</v>
      </c>
      <c r="D97" s="30" t="s">
        <v>103</v>
      </c>
      <c r="E97" s="30" t="s">
        <v>103</v>
      </c>
      <c r="F97" s="30" t="s">
        <v>103</v>
      </c>
      <c r="G97" s="30" t="s">
        <v>103</v>
      </c>
      <c r="H97" s="30" t="s">
        <v>103</v>
      </c>
      <c r="I97" s="30" t="s">
        <v>103</v>
      </c>
      <c r="J97" s="33" t="s">
        <v>103</v>
      </c>
    </row>
    <row r="98" spans="1:10" s="61" customFormat="1" ht="17.100000000000001" customHeight="1" x14ac:dyDescent="0.2">
      <c r="A98" s="3" t="s">
        <v>36</v>
      </c>
      <c r="B98" s="33">
        <v>61</v>
      </c>
      <c r="C98" s="33">
        <v>97</v>
      </c>
      <c r="D98" s="33">
        <f t="shared" ref="D98:D104" si="16">C98/B98*1000</f>
        <v>1590.1639344262294</v>
      </c>
      <c r="E98" s="33">
        <v>32</v>
      </c>
      <c r="F98" s="33">
        <v>51</v>
      </c>
      <c r="G98" s="33">
        <f t="shared" ref="G98:G104" si="17">F98/E98*1000</f>
        <v>1593.75</v>
      </c>
      <c r="H98" s="33">
        <v>13</v>
      </c>
      <c r="I98" s="33">
        <v>21</v>
      </c>
      <c r="J98" s="33">
        <f>I98/H98*1000</f>
        <v>1615.3846153846155</v>
      </c>
    </row>
    <row r="99" spans="1:10" s="61" customFormat="1" ht="17.100000000000001" customHeight="1" x14ac:dyDescent="0.2">
      <c r="A99" s="3" t="s">
        <v>43</v>
      </c>
      <c r="B99" s="33">
        <v>80</v>
      </c>
      <c r="C99" s="33">
        <v>183</v>
      </c>
      <c r="D99" s="33">
        <f t="shared" si="16"/>
        <v>2287.5</v>
      </c>
      <c r="E99" s="33">
        <v>82</v>
      </c>
      <c r="F99" s="33">
        <v>190</v>
      </c>
      <c r="G99" s="33">
        <f t="shared" si="17"/>
        <v>2317.0731707317073</v>
      </c>
      <c r="H99" s="33" t="s">
        <v>103</v>
      </c>
      <c r="I99" s="33" t="s">
        <v>103</v>
      </c>
      <c r="J99" s="33" t="s">
        <v>103</v>
      </c>
    </row>
    <row r="100" spans="1:10" s="61" customFormat="1" ht="17.100000000000001" customHeight="1" x14ac:dyDescent="0.2">
      <c r="A100" s="3" t="s">
        <v>88</v>
      </c>
      <c r="B100" s="33">
        <v>5863</v>
      </c>
      <c r="C100" s="33">
        <v>21180</v>
      </c>
      <c r="D100" s="33">
        <f t="shared" si="16"/>
        <v>3612.48507589971</v>
      </c>
      <c r="E100" s="33">
        <v>5870</v>
      </c>
      <c r="F100" s="33">
        <v>21240</v>
      </c>
      <c r="G100" s="33">
        <f t="shared" si="17"/>
        <v>3618.3986371379901</v>
      </c>
      <c r="H100" s="33">
        <v>5855</v>
      </c>
      <c r="I100" s="33">
        <v>20239</v>
      </c>
      <c r="J100" s="33">
        <f>I100/H100*1000</f>
        <v>3456.7036720751494</v>
      </c>
    </row>
    <row r="101" spans="1:10" s="61" customFormat="1" ht="17.100000000000001" customHeight="1" x14ac:dyDescent="0.2">
      <c r="A101" s="3" t="s">
        <v>47</v>
      </c>
      <c r="B101" s="33">
        <v>55</v>
      </c>
      <c r="C101" s="33">
        <v>81</v>
      </c>
      <c r="D101" s="33">
        <f t="shared" si="16"/>
        <v>1472.7272727272727</v>
      </c>
      <c r="E101" s="33">
        <v>617</v>
      </c>
      <c r="F101" s="33">
        <v>956</v>
      </c>
      <c r="G101" s="33">
        <f t="shared" si="17"/>
        <v>1549.4327390599676</v>
      </c>
      <c r="H101" s="33">
        <v>603</v>
      </c>
      <c r="I101" s="33">
        <v>937</v>
      </c>
      <c r="J101" s="33">
        <f>I101/H101*1000</f>
        <v>1553.8971807628523</v>
      </c>
    </row>
    <row r="102" spans="1:10" s="61" customFormat="1" ht="17.100000000000001" customHeight="1" x14ac:dyDescent="0.2">
      <c r="A102" s="3" t="s">
        <v>52</v>
      </c>
      <c r="B102" s="33">
        <v>4995</v>
      </c>
      <c r="C102" s="33">
        <v>10966</v>
      </c>
      <c r="D102" s="33">
        <f t="shared" si="16"/>
        <v>2195.3953953953956</v>
      </c>
      <c r="E102" s="33">
        <v>5018</v>
      </c>
      <c r="F102" s="33">
        <v>11363</v>
      </c>
      <c r="G102" s="33">
        <f t="shared" si="17"/>
        <v>2264.4479872459151</v>
      </c>
      <c r="H102" s="33">
        <v>5011</v>
      </c>
      <c r="I102" s="33">
        <v>11393</v>
      </c>
      <c r="J102" s="33">
        <f>I102/H102*1000</f>
        <v>2273.5980842147274</v>
      </c>
    </row>
    <row r="103" spans="1:10" s="61" customFormat="1" ht="17.100000000000001" customHeight="1" x14ac:dyDescent="0.2">
      <c r="A103" s="3" t="s">
        <v>41</v>
      </c>
      <c r="B103" s="33">
        <v>1366</v>
      </c>
      <c r="C103" s="33">
        <v>3574</v>
      </c>
      <c r="D103" s="33">
        <f t="shared" si="16"/>
        <v>2616.398243045388</v>
      </c>
      <c r="E103" s="33">
        <v>1354</v>
      </c>
      <c r="F103" s="33">
        <v>3576</v>
      </c>
      <c r="G103" s="33">
        <f t="shared" si="17"/>
        <v>2641.0635155096011</v>
      </c>
      <c r="H103" s="33">
        <v>1361</v>
      </c>
      <c r="I103" s="33">
        <v>3608</v>
      </c>
      <c r="J103" s="33">
        <f>I103/H103*1000</f>
        <v>2650.9919177075681</v>
      </c>
    </row>
    <row r="104" spans="1:10" s="61" customFormat="1" ht="17.100000000000001" customHeight="1" x14ac:dyDescent="0.2">
      <c r="A104" s="3" t="s">
        <v>34</v>
      </c>
      <c r="B104" s="33">
        <v>1837</v>
      </c>
      <c r="C104" s="33">
        <v>2958</v>
      </c>
      <c r="D104" s="33">
        <f t="shared" si="16"/>
        <v>1610.2340772999455</v>
      </c>
      <c r="E104" s="33">
        <v>1908</v>
      </c>
      <c r="F104" s="33">
        <v>3129</v>
      </c>
      <c r="G104" s="33">
        <f t="shared" si="17"/>
        <v>1639.9371069182389</v>
      </c>
      <c r="H104" s="33">
        <v>2417</v>
      </c>
      <c r="I104" s="33">
        <v>3940</v>
      </c>
      <c r="J104" s="33">
        <f>I104/H104*1000</f>
        <v>1630.1199834505587</v>
      </c>
    </row>
    <row r="105" spans="1:10" s="61" customFormat="1" ht="17.100000000000001" customHeight="1" x14ac:dyDescent="0.2">
      <c r="A105" s="3" t="s">
        <v>89</v>
      </c>
      <c r="B105" s="33" t="s">
        <v>103</v>
      </c>
      <c r="C105" s="33" t="s">
        <v>103</v>
      </c>
      <c r="D105" s="33" t="s">
        <v>103</v>
      </c>
      <c r="E105" s="33" t="s">
        <v>103</v>
      </c>
      <c r="F105" s="33" t="s">
        <v>103</v>
      </c>
      <c r="G105" s="33" t="s">
        <v>103</v>
      </c>
      <c r="H105" s="33" t="s">
        <v>103</v>
      </c>
      <c r="I105" s="33" t="s">
        <v>103</v>
      </c>
      <c r="J105" s="33" t="s">
        <v>103</v>
      </c>
    </row>
    <row r="106" spans="1:10" s="61" customFormat="1" ht="17.100000000000001" customHeight="1" x14ac:dyDescent="0.2">
      <c r="A106" s="3" t="s">
        <v>91</v>
      </c>
      <c r="B106" s="33">
        <v>63</v>
      </c>
      <c r="C106" s="33">
        <v>93</v>
      </c>
      <c r="D106" s="33">
        <f>C106/B106*1000</f>
        <v>1476.1904761904764</v>
      </c>
      <c r="E106" s="33">
        <v>75</v>
      </c>
      <c r="F106" s="33">
        <v>116</v>
      </c>
      <c r="G106" s="33">
        <f>F106/E106*1000</f>
        <v>1546.6666666666667</v>
      </c>
      <c r="H106" s="33">
        <v>83</v>
      </c>
      <c r="I106" s="33">
        <v>131</v>
      </c>
      <c r="J106" s="33">
        <f>I106/H106*1000</f>
        <v>1578.3132530120483</v>
      </c>
    </row>
    <row r="107" spans="1:10" s="61" customFormat="1" ht="17.100000000000001" customHeight="1" x14ac:dyDescent="0.2">
      <c r="A107" s="3" t="s">
        <v>32</v>
      </c>
      <c r="B107" s="33">
        <v>109</v>
      </c>
      <c r="C107" s="33">
        <v>205</v>
      </c>
      <c r="D107" s="33">
        <f>C107/B107*1000</f>
        <v>1880.7339449541284</v>
      </c>
      <c r="E107" s="33">
        <v>99</v>
      </c>
      <c r="F107" s="33">
        <v>175</v>
      </c>
      <c r="G107" s="33">
        <f>F107/E107*1000</f>
        <v>1767.6767676767677</v>
      </c>
      <c r="H107" s="33">
        <v>24</v>
      </c>
      <c r="I107" s="33">
        <v>42</v>
      </c>
      <c r="J107" s="33">
        <f>I107/H107*1000</f>
        <v>1750</v>
      </c>
    </row>
    <row r="108" spans="1:10" s="61" customFormat="1" ht="17.100000000000001" customHeight="1" x14ac:dyDescent="0.2">
      <c r="A108" s="3" t="s">
        <v>90</v>
      </c>
      <c r="B108" s="33">
        <v>335</v>
      </c>
      <c r="C108" s="33">
        <v>502</v>
      </c>
      <c r="D108" s="33">
        <f>C108/B108*1000</f>
        <v>1498.5074626865671</v>
      </c>
      <c r="E108" s="33">
        <v>353</v>
      </c>
      <c r="F108" s="33">
        <v>543</v>
      </c>
      <c r="G108" s="33">
        <f>F108/E108*1000</f>
        <v>1538.2436260623228</v>
      </c>
      <c r="H108" s="33">
        <v>355</v>
      </c>
      <c r="I108" s="33">
        <v>546</v>
      </c>
      <c r="J108" s="33">
        <f>I108/H108*1000</f>
        <v>1538.0281690140844</v>
      </c>
    </row>
    <row r="109" spans="1:10" s="61" customFormat="1" ht="17.100000000000001" customHeight="1" x14ac:dyDescent="0.2">
      <c r="A109" s="3" t="s">
        <v>31</v>
      </c>
      <c r="B109" s="33">
        <v>343</v>
      </c>
      <c r="C109" s="33">
        <v>720</v>
      </c>
      <c r="D109" s="33">
        <f>C109/B109*1000</f>
        <v>2099.1253644314866</v>
      </c>
      <c r="E109" s="33">
        <v>339</v>
      </c>
      <c r="F109" s="33">
        <v>715</v>
      </c>
      <c r="G109" s="33">
        <f>F109/E109*1000</f>
        <v>2109.1445427728613</v>
      </c>
      <c r="H109" s="33">
        <v>337</v>
      </c>
      <c r="I109" s="33">
        <v>712</v>
      </c>
      <c r="J109" s="33">
        <f>I109/H109*1000</f>
        <v>2112.7596439169142</v>
      </c>
    </row>
    <row r="110" spans="1:10" s="61" customFormat="1" ht="17.100000000000001" customHeight="1" x14ac:dyDescent="0.2">
      <c r="A110" s="3" t="s">
        <v>92</v>
      </c>
      <c r="B110" s="33" t="s">
        <v>103</v>
      </c>
      <c r="C110" s="33" t="s">
        <v>103</v>
      </c>
      <c r="D110" s="33" t="s">
        <v>103</v>
      </c>
      <c r="E110" s="33" t="s">
        <v>103</v>
      </c>
      <c r="F110" s="33" t="s">
        <v>103</v>
      </c>
      <c r="G110" s="33" t="s">
        <v>103</v>
      </c>
      <c r="H110" s="33" t="s">
        <v>103</v>
      </c>
      <c r="I110" s="33" t="s">
        <v>103</v>
      </c>
      <c r="J110" s="33" t="s">
        <v>103</v>
      </c>
    </row>
    <row r="111" spans="1:10" s="61" customFormat="1" ht="17.100000000000001" customHeight="1" x14ac:dyDescent="0.2">
      <c r="A111" s="3" t="s">
        <v>50</v>
      </c>
      <c r="B111" s="33">
        <v>1390</v>
      </c>
      <c r="C111" s="33">
        <v>3490</v>
      </c>
      <c r="D111" s="33">
        <f>C111/B111*1000</f>
        <v>2510.7913669064747</v>
      </c>
      <c r="E111" s="33">
        <v>1385</v>
      </c>
      <c r="F111" s="33">
        <v>3490</v>
      </c>
      <c r="G111" s="33">
        <f>F111/E111*1000</f>
        <v>2519.8555956678697</v>
      </c>
      <c r="H111" s="33">
        <v>1332</v>
      </c>
      <c r="I111" s="33">
        <v>3379</v>
      </c>
      <c r="J111" s="33">
        <f>I111/H111*1000</f>
        <v>2536.7867867867867</v>
      </c>
    </row>
    <row r="112" spans="1:10" s="61" customFormat="1" ht="17.100000000000001" customHeight="1" x14ac:dyDescent="0.2">
      <c r="A112" s="3" t="s">
        <v>35</v>
      </c>
      <c r="B112" s="33">
        <v>395</v>
      </c>
      <c r="C112" s="33">
        <v>763</v>
      </c>
      <c r="D112" s="33">
        <f>C112/B112*1000</f>
        <v>1931.6455696202534</v>
      </c>
      <c r="E112" s="33">
        <v>419</v>
      </c>
      <c r="F112" s="33">
        <v>803</v>
      </c>
      <c r="G112" s="33">
        <f>F112/E112*1000</f>
        <v>1916.4677804295943</v>
      </c>
      <c r="H112" s="33">
        <v>461</v>
      </c>
      <c r="I112" s="33">
        <v>546</v>
      </c>
      <c r="J112" s="33">
        <f>I112/H112*1000</f>
        <v>1184.3817787418657</v>
      </c>
    </row>
    <row r="113" spans="1:10" s="61" customFormat="1" ht="17.100000000000001" customHeight="1" x14ac:dyDescent="0.2">
      <c r="A113" s="3" t="s">
        <v>49</v>
      </c>
      <c r="B113" s="33">
        <v>5561</v>
      </c>
      <c r="C113" s="33">
        <v>15803</v>
      </c>
      <c r="D113" s="33">
        <f>C113/B113*1000</f>
        <v>2841.7550800215786</v>
      </c>
      <c r="E113" s="33">
        <v>6014</v>
      </c>
      <c r="F113" s="33">
        <v>18546</v>
      </c>
      <c r="G113" s="33">
        <f>F113/E113*1000</f>
        <v>3083.804456268706</v>
      </c>
      <c r="H113" s="33">
        <v>5993</v>
      </c>
      <c r="I113" s="33">
        <v>17665</v>
      </c>
      <c r="J113" s="33">
        <f>I113/H113*1000</f>
        <v>2947.6055397964292</v>
      </c>
    </row>
    <row r="114" spans="1:10" s="61" customFormat="1" ht="17.100000000000001" customHeight="1" x14ac:dyDescent="0.2">
      <c r="A114" s="3" t="s">
        <v>45</v>
      </c>
      <c r="B114" s="33">
        <v>274</v>
      </c>
      <c r="C114" s="33">
        <v>373</v>
      </c>
      <c r="D114" s="33">
        <f>C114/B114*1000</f>
        <v>1361.3138686131388</v>
      </c>
      <c r="E114" s="33">
        <v>559</v>
      </c>
      <c r="F114" s="33">
        <v>838</v>
      </c>
      <c r="G114" s="33">
        <f>F114/E114*1000</f>
        <v>1499.1055456171737</v>
      </c>
      <c r="H114" s="33">
        <v>382</v>
      </c>
      <c r="I114" s="33">
        <v>573</v>
      </c>
      <c r="J114" s="33">
        <f>I114/H114*1000</f>
        <v>1500</v>
      </c>
    </row>
    <row r="115" spans="1:10" s="61" customFormat="1" ht="17.100000000000001" customHeight="1" x14ac:dyDescent="0.2">
      <c r="A115" s="3" t="s">
        <v>79</v>
      </c>
      <c r="B115" s="30" t="s">
        <v>103</v>
      </c>
      <c r="C115" s="30" t="s">
        <v>103</v>
      </c>
      <c r="D115" s="30" t="s">
        <v>103</v>
      </c>
      <c r="E115" s="30" t="s">
        <v>103</v>
      </c>
      <c r="F115" s="30" t="s">
        <v>103</v>
      </c>
      <c r="G115" s="30" t="s">
        <v>103</v>
      </c>
      <c r="H115" s="30" t="s">
        <v>103</v>
      </c>
      <c r="I115" s="30" t="s">
        <v>103</v>
      </c>
      <c r="J115" s="33" t="s">
        <v>103</v>
      </c>
    </row>
    <row r="116" spans="1:10" x14ac:dyDescent="0.2">
      <c r="B116" s="13"/>
      <c r="C116" s="13"/>
      <c r="D116" s="13"/>
      <c r="E116" s="13"/>
      <c r="F116" s="13"/>
      <c r="G116" s="13"/>
      <c r="J116" s="13"/>
    </row>
    <row r="117" spans="1:10" s="8" customFormat="1" ht="12" x14ac:dyDescent="0.2">
      <c r="J117" s="53" t="s">
        <v>99</v>
      </c>
    </row>
    <row r="118" spans="1:10" ht="60" customHeight="1" x14ac:dyDescent="0.2">
      <c r="A118" s="73" t="s">
        <v>72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s="8" customFormat="1" ht="12.75" customHeight="1" x14ac:dyDescent="0.2">
      <c r="A119" s="8" t="s">
        <v>56</v>
      </c>
      <c r="B119" s="15"/>
      <c r="C119" s="15"/>
      <c r="D119" s="15"/>
      <c r="E119" s="15"/>
      <c r="F119" s="15"/>
      <c r="I119" s="15"/>
      <c r="J119" s="15"/>
    </row>
    <row r="120" spans="1:10" ht="20.100000000000001" customHeight="1" x14ac:dyDescent="0.2">
      <c r="A120" s="75" t="s">
        <v>30</v>
      </c>
      <c r="B120" s="75" t="s">
        <v>86</v>
      </c>
      <c r="C120" s="75"/>
      <c r="D120" s="75"/>
      <c r="E120" s="75" t="s">
        <v>95</v>
      </c>
      <c r="F120" s="75"/>
      <c r="G120" s="75"/>
      <c r="H120" s="75" t="s">
        <v>102</v>
      </c>
      <c r="I120" s="75"/>
      <c r="J120" s="75"/>
    </row>
    <row r="121" spans="1:10" ht="39.950000000000003" customHeight="1" x14ac:dyDescent="0.2">
      <c r="A121" s="75"/>
      <c r="B121" s="63" t="s">
        <v>98</v>
      </c>
      <c r="C121" s="63" t="s">
        <v>96</v>
      </c>
      <c r="D121" s="63" t="s">
        <v>97</v>
      </c>
      <c r="E121" s="63" t="s">
        <v>98</v>
      </c>
      <c r="F121" s="63" t="s">
        <v>96</v>
      </c>
      <c r="G121" s="63" t="s">
        <v>97</v>
      </c>
      <c r="H121" s="63" t="s">
        <v>98</v>
      </c>
      <c r="I121" s="63" t="s">
        <v>96</v>
      </c>
      <c r="J121" s="63" t="s">
        <v>97</v>
      </c>
    </row>
    <row r="122" spans="1:10" ht="25.5" customHeight="1" x14ac:dyDescent="0.2">
      <c r="A122" s="6" t="s">
        <v>68</v>
      </c>
      <c r="B122" s="34">
        <v>27034</v>
      </c>
      <c r="C122" s="34">
        <v>12365</v>
      </c>
      <c r="D122" s="34">
        <f>C122/B122*1000</f>
        <v>457.38699415550786</v>
      </c>
      <c r="E122" s="34">
        <v>29012</v>
      </c>
      <c r="F122" s="34">
        <v>18661</v>
      </c>
      <c r="G122" s="34">
        <f>F122/E122*1000</f>
        <v>643.21660002757471</v>
      </c>
      <c r="H122" s="34">
        <f>SUM(H123:H154)</f>
        <v>33699</v>
      </c>
      <c r="I122" s="34">
        <f>SUM(I123:I154)</f>
        <v>15052</v>
      </c>
      <c r="J122" s="34">
        <f>I122/H122*1000</f>
        <v>446.66013828303505</v>
      </c>
    </row>
    <row r="123" spans="1:10" ht="17.100000000000001" customHeight="1" x14ac:dyDescent="0.2">
      <c r="A123" s="3" t="s">
        <v>39</v>
      </c>
      <c r="B123" s="35" t="s">
        <v>103</v>
      </c>
      <c r="C123" s="35" t="s">
        <v>103</v>
      </c>
      <c r="D123" s="35" t="s">
        <v>103</v>
      </c>
      <c r="E123" s="35" t="s">
        <v>103</v>
      </c>
      <c r="F123" s="35" t="s">
        <v>103</v>
      </c>
      <c r="G123" s="35" t="s">
        <v>103</v>
      </c>
      <c r="H123" s="35" t="s">
        <v>103</v>
      </c>
      <c r="I123" s="35" t="s">
        <v>103</v>
      </c>
      <c r="J123" s="35" t="s">
        <v>103</v>
      </c>
    </row>
    <row r="124" spans="1:10" ht="17.100000000000001" customHeight="1" x14ac:dyDescent="0.2">
      <c r="A124" s="3" t="s">
        <v>94</v>
      </c>
      <c r="B124" s="35" t="s">
        <v>103</v>
      </c>
      <c r="C124" s="35" t="s">
        <v>103</v>
      </c>
      <c r="D124" s="35" t="s">
        <v>103</v>
      </c>
      <c r="E124" s="35" t="s">
        <v>103</v>
      </c>
      <c r="F124" s="35" t="s">
        <v>103</v>
      </c>
      <c r="G124" s="35" t="s">
        <v>103</v>
      </c>
      <c r="H124" s="35" t="s">
        <v>103</v>
      </c>
      <c r="I124" s="35" t="s">
        <v>103</v>
      </c>
      <c r="J124" s="35" t="s">
        <v>103</v>
      </c>
    </row>
    <row r="125" spans="1:10" ht="17.100000000000001" customHeight="1" x14ac:dyDescent="0.2">
      <c r="A125" s="3" t="s">
        <v>46</v>
      </c>
      <c r="B125" s="35">
        <f>314+2913</f>
        <v>3227</v>
      </c>
      <c r="C125" s="35">
        <f>110+1370</f>
        <v>1480</v>
      </c>
      <c r="D125" s="35">
        <f>C125/B125*1000</f>
        <v>458.63030678648897</v>
      </c>
      <c r="E125" s="35">
        <f>536+3100</f>
        <v>3636</v>
      </c>
      <c r="F125" s="35">
        <f>355+1455</f>
        <v>1810</v>
      </c>
      <c r="G125" s="35">
        <f>F125/E125*1000</f>
        <v>497.79977997799779</v>
      </c>
      <c r="H125" s="35">
        <v>3517</v>
      </c>
      <c r="I125" s="35">
        <v>1663</v>
      </c>
      <c r="J125" s="35">
        <f>I125/H125*1000</f>
        <v>472.84617571794143</v>
      </c>
    </row>
    <row r="126" spans="1:10" ht="17.100000000000001" customHeight="1" x14ac:dyDescent="0.2">
      <c r="A126" s="3" t="s">
        <v>42</v>
      </c>
      <c r="B126" s="35" t="s">
        <v>103</v>
      </c>
      <c r="C126" s="35" t="s">
        <v>103</v>
      </c>
      <c r="D126" s="35" t="s">
        <v>103</v>
      </c>
      <c r="E126" s="35" t="s">
        <v>103</v>
      </c>
      <c r="F126" s="35" t="s">
        <v>103</v>
      </c>
      <c r="G126" s="35" t="s">
        <v>103</v>
      </c>
      <c r="H126" s="35" t="s">
        <v>103</v>
      </c>
      <c r="I126" s="35" t="s">
        <v>103</v>
      </c>
      <c r="J126" s="35" t="s">
        <v>103</v>
      </c>
    </row>
    <row r="127" spans="1:10" ht="17.100000000000001" customHeight="1" x14ac:dyDescent="0.2">
      <c r="A127" s="3" t="s">
        <v>51</v>
      </c>
      <c r="B127" s="35" t="s">
        <v>103</v>
      </c>
      <c r="C127" s="35" t="s">
        <v>103</v>
      </c>
      <c r="D127" s="35" t="s">
        <v>103</v>
      </c>
      <c r="E127" s="35" t="s">
        <v>103</v>
      </c>
      <c r="F127" s="35" t="s">
        <v>103</v>
      </c>
      <c r="G127" s="35" t="s">
        <v>103</v>
      </c>
      <c r="H127" s="35" t="s">
        <v>103</v>
      </c>
      <c r="I127" s="35" t="s">
        <v>103</v>
      </c>
      <c r="J127" s="35" t="s">
        <v>103</v>
      </c>
    </row>
    <row r="128" spans="1:10" ht="17.100000000000001" customHeight="1" x14ac:dyDescent="0.2">
      <c r="A128" s="3" t="s">
        <v>33</v>
      </c>
      <c r="B128" s="35" t="s">
        <v>103</v>
      </c>
      <c r="C128" s="35" t="s">
        <v>103</v>
      </c>
      <c r="D128" s="35" t="s">
        <v>103</v>
      </c>
      <c r="E128" s="35" t="s">
        <v>103</v>
      </c>
      <c r="F128" s="35" t="s">
        <v>103</v>
      </c>
      <c r="G128" s="35" t="s">
        <v>103</v>
      </c>
      <c r="H128" s="35" t="s">
        <v>103</v>
      </c>
      <c r="I128" s="35" t="s">
        <v>103</v>
      </c>
      <c r="J128" s="35" t="s">
        <v>103</v>
      </c>
    </row>
    <row r="129" spans="1:10" ht="17.100000000000001" customHeight="1" x14ac:dyDescent="0.2">
      <c r="A129" s="3" t="s">
        <v>48</v>
      </c>
      <c r="B129" s="35" t="s">
        <v>103</v>
      </c>
      <c r="C129" s="35" t="s">
        <v>103</v>
      </c>
      <c r="D129" s="35" t="s">
        <v>103</v>
      </c>
      <c r="E129" s="35" t="s">
        <v>103</v>
      </c>
      <c r="F129" s="35" t="s">
        <v>103</v>
      </c>
      <c r="G129" s="35" t="s">
        <v>103</v>
      </c>
      <c r="H129" s="35" t="s">
        <v>103</v>
      </c>
      <c r="I129" s="35" t="s">
        <v>103</v>
      </c>
      <c r="J129" s="35" t="s">
        <v>103</v>
      </c>
    </row>
    <row r="130" spans="1:10" ht="17.100000000000001" customHeight="1" x14ac:dyDescent="0.2">
      <c r="A130" s="3" t="s">
        <v>44</v>
      </c>
      <c r="B130" s="35">
        <v>3913</v>
      </c>
      <c r="C130" s="35">
        <v>2791</v>
      </c>
      <c r="D130" s="35">
        <f>C130/B130*1000</f>
        <v>713.26348070534118</v>
      </c>
      <c r="E130" s="35">
        <v>6567</v>
      </c>
      <c r="F130" s="35">
        <v>4906</v>
      </c>
      <c r="G130" s="35">
        <f>F130/E130*1000</f>
        <v>747.06867671691793</v>
      </c>
      <c r="H130" s="35">
        <v>8047</v>
      </c>
      <c r="I130" s="35">
        <v>2343</v>
      </c>
      <c r="J130" s="35">
        <f>I130/H130*1000</f>
        <v>291.16440909655773</v>
      </c>
    </row>
    <row r="131" spans="1:10" ht="17.100000000000001" customHeight="1" x14ac:dyDescent="0.2">
      <c r="A131" s="3" t="s">
        <v>80</v>
      </c>
      <c r="B131" s="35" t="s">
        <v>103</v>
      </c>
      <c r="C131" s="35" t="s">
        <v>103</v>
      </c>
      <c r="D131" s="35" t="s">
        <v>103</v>
      </c>
      <c r="E131" s="35" t="s">
        <v>103</v>
      </c>
      <c r="F131" s="35" t="s">
        <v>103</v>
      </c>
      <c r="G131" s="35" t="s">
        <v>103</v>
      </c>
      <c r="H131" s="35" t="s">
        <v>103</v>
      </c>
      <c r="I131" s="35" t="s">
        <v>103</v>
      </c>
      <c r="J131" s="35" t="s">
        <v>103</v>
      </c>
    </row>
    <row r="132" spans="1:10" ht="17.100000000000001" customHeight="1" x14ac:dyDescent="0.2">
      <c r="A132" s="3" t="s">
        <v>81</v>
      </c>
      <c r="B132" s="35" t="s">
        <v>103</v>
      </c>
      <c r="C132" s="35" t="s">
        <v>103</v>
      </c>
      <c r="D132" s="35" t="s">
        <v>103</v>
      </c>
      <c r="E132" s="35" t="s">
        <v>103</v>
      </c>
      <c r="F132" s="35" t="s">
        <v>103</v>
      </c>
      <c r="G132" s="35" t="s">
        <v>103</v>
      </c>
      <c r="H132" s="35" t="s">
        <v>103</v>
      </c>
      <c r="I132" s="35" t="s">
        <v>103</v>
      </c>
      <c r="J132" s="35" t="s">
        <v>103</v>
      </c>
    </row>
    <row r="133" spans="1:10" ht="17.100000000000001" customHeight="1" x14ac:dyDescent="0.2">
      <c r="A133" s="3" t="s">
        <v>37</v>
      </c>
      <c r="B133" s="35" t="s">
        <v>103</v>
      </c>
      <c r="C133" s="35" t="s">
        <v>103</v>
      </c>
      <c r="D133" s="35" t="s">
        <v>103</v>
      </c>
      <c r="E133" s="35" t="s">
        <v>103</v>
      </c>
      <c r="F133" s="35" t="s">
        <v>103</v>
      </c>
      <c r="G133" s="35" t="s">
        <v>103</v>
      </c>
      <c r="H133" s="35" t="s">
        <v>103</v>
      </c>
      <c r="I133" s="35" t="s">
        <v>103</v>
      </c>
      <c r="J133" s="35" t="s">
        <v>103</v>
      </c>
    </row>
    <row r="134" spans="1:10" ht="17.100000000000001" customHeight="1" x14ac:dyDescent="0.2">
      <c r="A134" s="3" t="s">
        <v>40</v>
      </c>
      <c r="B134" s="35">
        <v>17</v>
      </c>
      <c r="C134" s="35">
        <v>9</v>
      </c>
      <c r="D134" s="35">
        <f>C134/B134*1000</f>
        <v>529.41176470588232</v>
      </c>
      <c r="E134" s="35">
        <v>17</v>
      </c>
      <c r="F134" s="35">
        <v>9</v>
      </c>
      <c r="G134" s="35">
        <f>F134/E134*1000</f>
        <v>529.41176470588232</v>
      </c>
      <c r="H134" s="35">
        <v>17</v>
      </c>
      <c r="I134" s="35">
        <v>8</v>
      </c>
      <c r="J134" s="35">
        <f>I134/H134*1000</f>
        <v>470.58823529411762</v>
      </c>
    </row>
    <row r="135" spans="1:10" ht="17.100000000000001" customHeight="1" x14ac:dyDescent="0.2">
      <c r="A135" s="3" t="s">
        <v>38</v>
      </c>
      <c r="B135" s="35">
        <v>5808</v>
      </c>
      <c r="C135" s="35">
        <v>1384</v>
      </c>
      <c r="D135" s="35">
        <f>C135/B135*1000</f>
        <v>238.29201101928373</v>
      </c>
      <c r="E135" s="35">
        <v>5335</v>
      </c>
      <c r="F135" s="35">
        <v>1874</v>
      </c>
      <c r="G135" s="35">
        <f>F135/E135*1000</f>
        <v>351.26522961574506</v>
      </c>
      <c r="H135" s="35">
        <v>6208</v>
      </c>
      <c r="I135" s="35">
        <v>2071</v>
      </c>
      <c r="J135" s="35">
        <f>I135/H135*1000</f>
        <v>333.6018041237113</v>
      </c>
    </row>
    <row r="136" spans="1:10" ht="17.100000000000001" customHeight="1" x14ac:dyDescent="0.2">
      <c r="A136" s="3" t="s">
        <v>87</v>
      </c>
      <c r="B136" s="35" t="s">
        <v>103</v>
      </c>
      <c r="C136" s="35" t="s">
        <v>103</v>
      </c>
      <c r="D136" s="35" t="s">
        <v>103</v>
      </c>
      <c r="E136" s="35" t="s">
        <v>103</v>
      </c>
      <c r="F136" s="35" t="s">
        <v>103</v>
      </c>
      <c r="G136" s="35" t="s">
        <v>103</v>
      </c>
      <c r="H136" s="35" t="s">
        <v>103</v>
      </c>
      <c r="I136" s="35" t="s">
        <v>103</v>
      </c>
      <c r="J136" s="35" t="s">
        <v>103</v>
      </c>
    </row>
    <row r="137" spans="1:10" ht="17.100000000000001" customHeight="1" x14ac:dyDescent="0.2">
      <c r="A137" s="3" t="s">
        <v>36</v>
      </c>
      <c r="B137" s="35">
        <v>10</v>
      </c>
      <c r="C137" s="35">
        <v>6</v>
      </c>
      <c r="D137" s="35">
        <f>C137/B137*1000</f>
        <v>600</v>
      </c>
      <c r="E137" s="35">
        <v>11</v>
      </c>
      <c r="F137" s="35">
        <v>7</v>
      </c>
      <c r="G137" s="35">
        <f>F137/E137*1000</f>
        <v>636.36363636363637</v>
      </c>
      <c r="H137" s="35">
        <v>70</v>
      </c>
      <c r="I137" s="35">
        <v>36</v>
      </c>
      <c r="J137" s="35">
        <f>I137/H137*1000</f>
        <v>514.28571428571422</v>
      </c>
    </row>
    <row r="138" spans="1:10" ht="17.100000000000001" customHeight="1" x14ac:dyDescent="0.2">
      <c r="A138" s="3" t="s">
        <v>43</v>
      </c>
      <c r="B138" s="35" t="s">
        <v>103</v>
      </c>
      <c r="C138" s="35" t="s">
        <v>103</v>
      </c>
      <c r="D138" s="35" t="s">
        <v>103</v>
      </c>
      <c r="E138" s="35" t="s">
        <v>103</v>
      </c>
      <c r="F138" s="35" t="s">
        <v>103</v>
      </c>
      <c r="G138" s="35" t="s">
        <v>103</v>
      </c>
      <c r="H138" s="35" t="s">
        <v>103</v>
      </c>
      <c r="I138" s="35" t="s">
        <v>103</v>
      </c>
      <c r="J138" s="35" t="s">
        <v>103</v>
      </c>
    </row>
    <row r="139" spans="1:10" ht="17.100000000000001" customHeight="1" x14ac:dyDescent="0.2">
      <c r="A139" s="3" t="s">
        <v>88</v>
      </c>
      <c r="B139" s="35" t="s">
        <v>103</v>
      </c>
      <c r="C139" s="35" t="s">
        <v>103</v>
      </c>
      <c r="D139" s="35" t="s">
        <v>103</v>
      </c>
      <c r="E139" s="35" t="s">
        <v>103</v>
      </c>
      <c r="F139" s="35" t="s">
        <v>103</v>
      </c>
      <c r="G139" s="35" t="s">
        <v>103</v>
      </c>
      <c r="H139" s="35" t="s">
        <v>103</v>
      </c>
      <c r="I139" s="35" t="s">
        <v>103</v>
      </c>
      <c r="J139" s="35" t="s">
        <v>103</v>
      </c>
    </row>
    <row r="140" spans="1:10" ht="17.100000000000001" customHeight="1" x14ac:dyDescent="0.2">
      <c r="A140" s="3" t="s">
        <v>47</v>
      </c>
      <c r="B140" s="35">
        <v>11780</v>
      </c>
      <c r="C140" s="35">
        <v>5460</v>
      </c>
      <c r="D140" s="35">
        <f>C140/B140*1000</f>
        <v>463.49745331069607</v>
      </c>
      <c r="E140" s="35">
        <v>11904</v>
      </c>
      <c r="F140" s="35">
        <v>9018</v>
      </c>
      <c r="G140" s="35">
        <f>F140/E140*1000</f>
        <v>757.5604838709678</v>
      </c>
      <c r="H140" s="35">
        <v>12577</v>
      </c>
      <c r="I140" s="35">
        <v>8092</v>
      </c>
      <c r="J140" s="35">
        <f>I140/H140*1000</f>
        <v>643.39667647292674</v>
      </c>
    </row>
    <row r="141" spans="1:10" ht="17.100000000000001" customHeight="1" x14ac:dyDescent="0.2">
      <c r="A141" s="3" t="s">
        <v>52</v>
      </c>
      <c r="B141" s="35" t="s">
        <v>103</v>
      </c>
      <c r="C141" s="35" t="s">
        <v>103</v>
      </c>
      <c r="D141" s="35" t="s">
        <v>103</v>
      </c>
      <c r="E141" s="35" t="s">
        <v>103</v>
      </c>
      <c r="F141" s="35" t="s">
        <v>103</v>
      </c>
      <c r="G141" s="35" t="s">
        <v>103</v>
      </c>
      <c r="H141" s="35" t="s">
        <v>103</v>
      </c>
      <c r="I141" s="35" t="s">
        <v>103</v>
      </c>
      <c r="J141" s="35" t="s">
        <v>103</v>
      </c>
    </row>
    <row r="142" spans="1:10" ht="17.100000000000001" customHeight="1" x14ac:dyDescent="0.2">
      <c r="A142" s="3" t="s">
        <v>41</v>
      </c>
      <c r="B142" s="35" t="s">
        <v>103</v>
      </c>
      <c r="C142" s="35" t="s">
        <v>103</v>
      </c>
      <c r="D142" s="35" t="s">
        <v>103</v>
      </c>
      <c r="E142" s="35" t="s">
        <v>103</v>
      </c>
      <c r="F142" s="35" t="s">
        <v>103</v>
      </c>
      <c r="G142" s="35" t="s">
        <v>103</v>
      </c>
      <c r="H142" s="35" t="s">
        <v>103</v>
      </c>
      <c r="I142" s="35" t="s">
        <v>103</v>
      </c>
      <c r="J142" s="35" t="s">
        <v>103</v>
      </c>
    </row>
    <row r="143" spans="1:10" ht="17.100000000000001" customHeight="1" x14ac:dyDescent="0.2">
      <c r="A143" s="3" t="s">
        <v>34</v>
      </c>
      <c r="B143" s="35" t="s">
        <v>103</v>
      </c>
      <c r="C143" s="35" t="s">
        <v>103</v>
      </c>
      <c r="D143" s="35" t="s">
        <v>103</v>
      </c>
      <c r="E143" s="35" t="s">
        <v>103</v>
      </c>
      <c r="F143" s="35" t="s">
        <v>103</v>
      </c>
      <c r="G143" s="35" t="s">
        <v>103</v>
      </c>
      <c r="H143" s="35" t="s">
        <v>103</v>
      </c>
      <c r="I143" s="35" t="s">
        <v>103</v>
      </c>
      <c r="J143" s="35" t="s">
        <v>103</v>
      </c>
    </row>
    <row r="144" spans="1:10" ht="17.100000000000001" customHeight="1" x14ac:dyDescent="0.2">
      <c r="A144" s="3" t="s">
        <v>89</v>
      </c>
      <c r="B144" s="35" t="s">
        <v>103</v>
      </c>
      <c r="C144" s="35" t="s">
        <v>103</v>
      </c>
      <c r="D144" s="35" t="s">
        <v>103</v>
      </c>
      <c r="E144" s="35" t="s">
        <v>103</v>
      </c>
      <c r="F144" s="35" t="s">
        <v>103</v>
      </c>
      <c r="G144" s="35" t="s">
        <v>103</v>
      </c>
      <c r="H144" s="35" t="s">
        <v>103</v>
      </c>
      <c r="I144" s="35" t="s">
        <v>103</v>
      </c>
      <c r="J144" s="35" t="s">
        <v>103</v>
      </c>
    </row>
    <row r="145" spans="1:10" ht="17.100000000000001" customHeight="1" x14ac:dyDescent="0.2">
      <c r="A145" s="3" t="s">
        <v>91</v>
      </c>
      <c r="B145" s="35" t="s">
        <v>103</v>
      </c>
      <c r="C145" s="35" t="s">
        <v>103</v>
      </c>
      <c r="D145" s="35" t="s">
        <v>103</v>
      </c>
      <c r="E145" s="35" t="s">
        <v>103</v>
      </c>
      <c r="F145" s="35" t="s">
        <v>103</v>
      </c>
      <c r="G145" s="35" t="s">
        <v>103</v>
      </c>
      <c r="H145" s="35" t="s">
        <v>103</v>
      </c>
      <c r="I145" s="35" t="s">
        <v>103</v>
      </c>
      <c r="J145" s="35" t="s">
        <v>103</v>
      </c>
    </row>
    <row r="146" spans="1:10" ht="17.100000000000001" customHeight="1" x14ac:dyDescent="0.2">
      <c r="A146" s="3" t="s">
        <v>32</v>
      </c>
      <c r="B146" s="35">
        <v>17</v>
      </c>
      <c r="C146" s="35">
        <v>17</v>
      </c>
      <c r="D146" s="35">
        <f>C146/B146*1000</f>
        <v>1000</v>
      </c>
      <c r="E146" s="35">
        <v>7</v>
      </c>
      <c r="F146" s="35">
        <v>7</v>
      </c>
      <c r="G146" s="35">
        <f>F146/E146*1000</f>
        <v>1000</v>
      </c>
      <c r="H146" s="35">
        <v>12</v>
      </c>
      <c r="I146" s="35">
        <v>12</v>
      </c>
      <c r="J146" s="35">
        <f>I146/H146*1000</f>
        <v>1000</v>
      </c>
    </row>
    <row r="147" spans="1:10" ht="17.100000000000001" customHeight="1" x14ac:dyDescent="0.2">
      <c r="A147" s="3" t="s">
        <v>90</v>
      </c>
      <c r="B147" s="35" t="s">
        <v>103</v>
      </c>
      <c r="C147" s="35" t="s">
        <v>103</v>
      </c>
      <c r="D147" s="35" t="s">
        <v>103</v>
      </c>
      <c r="E147" s="35" t="s">
        <v>103</v>
      </c>
      <c r="F147" s="35" t="s">
        <v>103</v>
      </c>
      <c r="G147" s="35" t="s">
        <v>103</v>
      </c>
      <c r="H147" s="35" t="s">
        <v>103</v>
      </c>
      <c r="I147" s="35" t="s">
        <v>103</v>
      </c>
      <c r="J147" s="35" t="s">
        <v>103</v>
      </c>
    </row>
    <row r="148" spans="1:10" ht="17.100000000000001" customHeight="1" x14ac:dyDescent="0.2">
      <c r="A148" s="3" t="s">
        <v>31</v>
      </c>
      <c r="B148" s="35" t="s">
        <v>103</v>
      </c>
      <c r="C148" s="35" t="s">
        <v>103</v>
      </c>
      <c r="D148" s="35" t="s">
        <v>103</v>
      </c>
      <c r="E148" s="35" t="s">
        <v>103</v>
      </c>
      <c r="F148" s="35" t="s">
        <v>103</v>
      </c>
      <c r="G148" s="35" t="s">
        <v>103</v>
      </c>
      <c r="H148" s="35" t="s">
        <v>103</v>
      </c>
      <c r="I148" s="35" t="s">
        <v>103</v>
      </c>
      <c r="J148" s="35" t="s">
        <v>103</v>
      </c>
    </row>
    <row r="149" spans="1:10" ht="17.100000000000001" customHeight="1" x14ac:dyDescent="0.2">
      <c r="A149" s="3" t="s">
        <v>92</v>
      </c>
      <c r="B149" s="35" t="s">
        <v>103</v>
      </c>
      <c r="C149" s="35" t="s">
        <v>103</v>
      </c>
      <c r="D149" s="35" t="s">
        <v>103</v>
      </c>
      <c r="E149" s="35" t="s">
        <v>103</v>
      </c>
      <c r="F149" s="35" t="s">
        <v>103</v>
      </c>
      <c r="G149" s="35" t="s">
        <v>103</v>
      </c>
      <c r="H149" s="35" t="s">
        <v>103</v>
      </c>
      <c r="I149" s="35" t="s">
        <v>103</v>
      </c>
      <c r="J149" s="35" t="s">
        <v>103</v>
      </c>
    </row>
    <row r="150" spans="1:10" ht="17.100000000000001" customHeight="1" x14ac:dyDescent="0.2">
      <c r="A150" s="3" t="s">
        <v>50</v>
      </c>
      <c r="B150" s="35" t="s">
        <v>103</v>
      </c>
      <c r="C150" s="35" t="s">
        <v>103</v>
      </c>
      <c r="D150" s="35" t="s">
        <v>103</v>
      </c>
      <c r="E150" s="35" t="s">
        <v>103</v>
      </c>
      <c r="F150" s="35" t="s">
        <v>103</v>
      </c>
      <c r="G150" s="35" t="s">
        <v>103</v>
      </c>
      <c r="H150" s="35" t="s">
        <v>103</v>
      </c>
      <c r="I150" s="35" t="s">
        <v>103</v>
      </c>
      <c r="J150" s="35" t="s">
        <v>103</v>
      </c>
    </row>
    <row r="151" spans="1:10" ht="17.100000000000001" customHeight="1" x14ac:dyDescent="0.2">
      <c r="A151" s="3" t="s">
        <v>35</v>
      </c>
      <c r="B151" s="35">
        <v>6</v>
      </c>
      <c r="C151" s="35">
        <v>6</v>
      </c>
      <c r="D151" s="35">
        <f>C151/B151*1000</f>
        <v>1000</v>
      </c>
      <c r="E151" s="35">
        <v>10</v>
      </c>
      <c r="F151" s="35">
        <v>10</v>
      </c>
      <c r="G151" s="35">
        <f>F151/E151*1000</f>
        <v>1000</v>
      </c>
      <c r="H151" s="35">
        <v>10</v>
      </c>
      <c r="I151" s="35">
        <v>8</v>
      </c>
      <c r="J151" s="35">
        <f>I151/H151*1000</f>
        <v>800</v>
      </c>
    </row>
    <row r="152" spans="1:10" ht="17.100000000000001" customHeight="1" x14ac:dyDescent="0.2">
      <c r="A152" s="3" t="s">
        <v>49</v>
      </c>
      <c r="B152" s="35" t="s">
        <v>103</v>
      </c>
      <c r="C152" s="35" t="s">
        <v>103</v>
      </c>
      <c r="D152" s="35" t="s">
        <v>103</v>
      </c>
      <c r="E152" s="35" t="s">
        <v>103</v>
      </c>
      <c r="F152" s="35" t="s">
        <v>103</v>
      </c>
      <c r="G152" s="35" t="s">
        <v>103</v>
      </c>
      <c r="H152" s="35" t="s">
        <v>103</v>
      </c>
      <c r="I152" s="35" t="s">
        <v>103</v>
      </c>
      <c r="J152" s="35" t="s">
        <v>103</v>
      </c>
    </row>
    <row r="153" spans="1:10" ht="17.100000000000001" customHeight="1" x14ac:dyDescent="0.2">
      <c r="A153" s="3" t="s">
        <v>45</v>
      </c>
      <c r="B153" s="35">
        <v>2256</v>
      </c>
      <c r="C153" s="35">
        <v>1212</v>
      </c>
      <c r="D153" s="35">
        <f>C153/B153*1000</f>
        <v>537.23404255319156</v>
      </c>
      <c r="E153" s="35">
        <v>1525</v>
      </c>
      <c r="F153" s="35">
        <v>1020</v>
      </c>
      <c r="G153" s="35">
        <f>F153/E153*1000</f>
        <v>668.85245901639348</v>
      </c>
      <c r="H153" s="35">
        <v>3241</v>
      </c>
      <c r="I153" s="35">
        <v>819</v>
      </c>
      <c r="J153" s="35">
        <f>I153/H153*1000</f>
        <v>252.6997840172786</v>
      </c>
    </row>
    <row r="154" spans="1:10" ht="17.100000000000001" customHeight="1" x14ac:dyDescent="0.2">
      <c r="A154" s="3" t="s">
        <v>79</v>
      </c>
      <c r="B154" s="35" t="s">
        <v>103</v>
      </c>
      <c r="C154" s="35" t="s">
        <v>103</v>
      </c>
      <c r="D154" s="35" t="s">
        <v>103</v>
      </c>
      <c r="E154" s="35" t="s">
        <v>103</v>
      </c>
      <c r="F154" s="35" t="s">
        <v>103</v>
      </c>
      <c r="G154" s="35" t="s">
        <v>103</v>
      </c>
      <c r="H154" s="35" t="s">
        <v>103</v>
      </c>
      <c r="I154" s="35" t="s">
        <v>103</v>
      </c>
      <c r="J154" s="35" t="s">
        <v>103</v>
      </c>
    </row>
    <row r="155" spans="1:10" x14ac:dyDescent="0.2">
      <c r="B155" s="13"/>
      <c r="C155" s="13"/>
      <c r="D155" s="13"/>
      <c r="E155" s="13"/>
      <c r="F155" s="13"/>
      <c r="G155" s="13"/>
      <c r="I155" s="13"/>
      <c r="J155" s="13"/>
    </row>
    <row r="156" spans="1:10" s="8" customFormat="1" ht="12" x14ac:dyDescent="0.2">
      <c r="J156" s="53" t="s">
        <v>99</v>
      </c>
    </row>
    <row r="157" spans="1:10" ht="60" customHeight="1" x14ac:dyDescent="0.2">
      <c r="A157" s="73" t="s">
        <v>73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s="8" customFormat="1" ht="12.75" customHeight="1" x14ac:dyDescent="0.2">
      <c r="A158" s="8" t="s">
        <v>57</v>
      </c>
      <c r="B158" s="15"/>
      <c r="C158" s="15"/>
      <c r="D158" s="15"/>
      <c r="E158" s="15"/>
      <c r="F158" s="15"/>
      <c r="I158" s="15"/>
      <c r="J158" s="15"/>
    </row>
    <row r="159" spans="1:10" ht="20.100000000000001" customHeight="1" x14ac:dyDescent="0.2">
      <c r="A159" s="72" t="s">
        <v>30</v>
      </c>
      <c r="B159" s="72" t="s">
        <v>86</v>
      </c>
      <c r="C159" s="72"/>
      <c r="D159" s="72"/>
      <c r="E159" s="72" t="s">
        <v>95</v>
      </c>
      <c r="F159" s="72"/>
      <c r="G159" s="72"/>
      <c r="H159" s="72" t="s">
        <v>102</v>
      </c>
      <c r="I159" s="72"/>
      <c r="J159" s="72"/>
    </row>
    <row r="160" spans="1:10" ht="39.950000000000003" customHeight="1" x14ac:dyDescent="0.2">
      <c r="A160" s="72"/>
      <c r="B160" s="63" t="s">
        <v>98</v>
      </c>
      <c r="C160" s="63" t="s">
        <v>96</v>
      </c>
      <c r="D160" s="63" t="s">
        <v>97</v>
      </c>
      <c r="E160" s="63" t="s">
        <v>98</v>
      </c>
      <c r="F160" s="63" t="s">
        <v>96</v>
      </c>
      <c r="G160" s="63" t="s">
        <v>97</v>
      </c>
      <c r="H160" s="63" t="s">
        <v>98</v>
      </c>
      <c r="I160" s="63" t="s">
        <v>96</v>
      </c>
      <c r="J160" s="63" t="s">
        <v>97</v>
      </c>
    </row>
    <row r="161" spans="1:10" ht="25.5" customHeight="1" x14ac:dyDescent="0.2">
      <c r="A161" s="6" t="s">
        <v>68</v>
      </c>
      <c r="B161" s="34">
        <f>SUM(B162:B193)</f>
        <v>5508</v>
      </c>
      <c r="C161" s="34">
        <f>SUM(C162:C193)</f>
        <v>3410</v>
      </c>
      <c r="D161" s="34">
        <f>C161/B161*1000</f>
        <v>619.09949164851128</v>
      </c>
      <c r="E161" s="34">
        <v>5526</v>
      </c>
      <c r="F161" s="34">
        <v>3450</v>
      </c>
      <c r="G161" s="34">
        <f>F161/E161*1000</f>
        <v>624.32138979370256</v>
      </c>
      <c r="H161" s="34">
        <f>SUM(H162:H193)</f>
        <v>5523</v>
      </c>
      <c r="I161" s="34">
        <f>SUM(I162:I193)</f>
        <v>3512</v>
      </c>
      <c r="J161" s="34">
        <f>I161/H161*1000</f>
        <v>635.88629368097054</v>
      </c>
    </row>
    <row r="162" spans="1:10" ht="17.100000000000001" customHeight="1" x14ac:dyDescent="0.2">
      <c r="A162" s="3" t="s">
        <v>39</v>
      </c>
      <c r="B162" s="35" t="s">
        <v>103</v>
      </c>
      <c r="C162" s="35" t="s">
        <v>103</v>
      </c>
      <c r="D162" s="35" t="s">
        <v>103</v>
      </c>
      <c r="E162" s="35" t="s">
        <v>103</v>
      </c>
      <c r="F162" s="35" t="s">
        <v>103</v>
      </c>
      <c r="G162" s="35" t="s">
        <v>103</v>
      </c>
      <c r="H162" s="35" t="s">
        <v>103</v>
      </c>
      <c r="I162" s="35" t="s">
        <v>103</v>
      </c>
      <c r="J162" s="35" t="s">
        <v>103</v>
      </c>
    </row>
    <row r="163" spans="1:10" ht="17.100000000000001" customHeight="1" x14ac:dyDescent="0.2">
      <c r="A163" s="3" t="s">
        <v>94</v>
      </c>
      <c r="B163" s="35" t="s">
        <v>103</v>
      </c>
      <c r="C163" s="35" t="s">
        <v>103</v>
      </c>
      <c r="D163" s="35" t="s">
        <v>103</v>
      </c>
      <c r="E163" s="35" t="s">
        <v>103</v>
      </c>
      <c r="F163" s="35" t="s">
        <v>103</v>
      </c>
      <c r="G163" s="35" t="s">
        <v>103</v>
      </c>
      <c r="H163" s="35" t="s">
        <v>103</v>
      </c>
      <c r="I163" s="35" t="s">
        <v>103</v>
      </c>
      <c r="J163" s="35" t="s">
        <v>103</v>
      </c>
    </row>
    <row r="164" spans="1:10" ht="17.100000000000001" customHeight="1" x14ac:dyDescent="0.2">
      <c r="A164" s="3" t="s">
        <v>46</v>
      </c>
      <c r="B164" s="35" t="s">
        <v>103</v>
      </c>
      <c r="C164" s="35" t="s">
        <v>103</v>
      </c>
      <c r="D164" s="35" t="s">
        <v>103</v>
      </c>
      <c r="E164" s="35" t="s">
        <v>103</v>
      </c>
      <c r="F164" s="35" t="s">
        <v>103</v>
      </c>
      <c r="G164" s="35" t="s">
        <v>103</v>
      </c>
      <c r="H164" s="35" t="s">
        <v>103</v>
      </c>
      <c r="I164" s="35" t="s">
        <v>103</v>
      </c>
      <c r="J164" s="35" t="s">
        <v>103</v>
      </c>
    </row>
    <row r="165" spans="1:10" ht="17.100000000000001" customHeight="1" x14ac:dyDescent="0.2">
      <c r="A165" s="3" t="s">
        <v>42</v>
      </c>
      <c r="B165" s="35" t="s">
        <v>103</v>
      </c>
      <c r="C165" s="35" t="s">
        <v>103</v>
      </c>
      <c r="D165" s="35" t="s">
        <v>103</v>
      </c>
      <c r="E165" s="35" t="s">
        <v>103</v>
      </c>
      <c r="F165" s="35" t="s">
        <v>103</v>
      </c>
      <c r="G165" s="35" t="s">
        <v>103</v>
      </c>
      <c r="H165" s="35" t="s">
        <v>103</v>
      </c>
      <c r="I165" s="35" t="s">
        <v>103</v>
      </c>
      <c r="J165" s="35" t="s">
        <v>103</v>
      </c>
    </row>
    <row r="166" spans="1:10" ht="17.100000000000001" customHeight="1" x14ac:dyDescent="0.2">
      <c r="A166" s="3" t="s">
        <v>51</v>
      </c>
      <c r="B166" s="35" t="s">
        <v>103</v>
      </c>
      <c r="C166" s="35" t="s">
        <v>103</v>
      </c>
      <c r="D166" s="35" t="s">
        <v>103</v>
      </c>
      <c r="E166" s="35" t="s">
        <v>103</v>
      </c>
      <c r="F166" s="35" t="s">
        <v>103</v>
      </c>
      <c r="G166" s="35" t="s">
        <v>103</v>
      </c>
      <c r="H166" s="35" t="s">
        <v>103</v>
      </c>
      <c r="I166" s="35" t="s">
        <v>103</v>
      </c>
      <c r="J166" s="35" t="s">
        <v>103</v>
      </c>
    </row>
    <row r="167" spans="1:10" ht="17.100000000000001" customHeight="1" x14ac:dyDescent="0.2">
      <c r="A167" s="3" t="s">
        <v>33</v>
      </c>
      <c r="B167" s="35" t="s">
        <v>103</v>
      </c>
      <c r="C167" s="35" t="s">
        <v>103</v>
      </c>
      <c r="D167" s="35" t="s">
        <v>103</v>
      </c>
      <c r="E167" s="35" t="s">
        <v>103</v>
      </c>
      <c r="F167" s="35" t="s">
        <v>103</v>
      </c>
      <c r="G167" s="35" t="s">
        <v>103</v>
      </c>
      <c r="H167" s="35" t="s">
        <v>103</v>
      </c>
      <c r="I167" s="35" t="s">
        <v>103</v>
      </c>
      <c r="J167" s="35" t="s">
        <v>103</v>
      </c>
    </row>
    <row r="168" spans="1:10" ht="17.100000000000001" customHeight="1" x14ac:dyDescent="0.2">
      <c r="A168" s="3" t="s">
        <v>48</v>
      </c>
      <c r="B168" s="35" t="s">
        <v>103</v>
      </c>
      <c r="C168" s="35" t="s">
        <v>103</v>
      </c>
      <c r="D168" s="35" t="s">
        <v>103</v>
      </c>
      <c r="E168" s="35" t="s">
        <v>103</v>
      </c>
      <c r="F168" s="35" t="s">
        <v>103</v>
      </c>
      <c r="G168" s="35" t="s">
        <v>103</v>
      </c>
      <c r="H168" s="35" t="s">
        <v>103</v>
      </c>
      <c r="I168" s="35" t="s">
        <v>103</v>
      </c>
      <c r="J168" s="35" t="s">
        <v>103</v>
      </c>
    </row>
    <row r="169" spans="1:10" ht="17.100000000000001" customHeight="1" x14ac:dyDescent="0.2">
      <c r="A169" s="3" t="s">
        <v>44</v>
      </c>
      <c r="B169" s="35">
        <v>1722</v>
      </c>
      <c r="C169" s="35">
        <v>1210</v>
      </c>
      <c r="D169" s="35">
        <f>C169/B169*1000</f>
        <v>702.67131242741004</v>
      </c>
      <c r="E169" s="35">
        <v>1445</v>
      </c>
      <c r="F169" s="35">
        <v>1007</v>
      </c>
      <c r="G169" s="35">
        <f>F169/E169*1000</f>
        <v>696.885813148789</v>
      </c>
      <c r="H169" s="35">
        <v>1508</v>
      </c>
      <c r="I169" s="35">
        <v>1077</v>
      </c>
      <c r="J169" s="35">
        <f>I169/H169*1000</f>
        <v>714.19098143236067</v>
      </c>
    </row>
    <row r="170" spans="1:10" ht="17.100000000000001" customHeight="1" x14ac:dyDescent="0.2">
      <c r="A170" s="3" t="s">
        <v>80</v>
      </c>
      <c r="B170" s="35" t="s">
        <v>103</v>
      </c>
      <c r="C170" s="35" t="s">
        <v>103</v>
      </c>
      <c r="D170" s="35" t="s">
        <v>103</v>
      </c>
      <c r="E170" s="35" t="s">
        <v>103</v>
      </c>
      <c r="F170" s="35" t="s">
        <v>103</v>
      </c>
      <c r="G170" s="35" t="s">
        <v>103</v>
      </c>
      <c r="H170" s="35" t="s">
        <v>103</v>
      </c>
      <c r="I170" s="35" t="s">
        <v>103</v>
      </c>
      <c r="J170" s="35" t="s">
        <v>103</v>
      </c>
    </row>
    <row r="171" spans="1:10" ht="17.100000000000001" customHeight="1" x14ac:dyDescent="0.2">
      <c r="A171" s="3" t="s">
        <v>81</v>
      </c>
      <c r="B171" s="35" t="s">
        <v>103</v>
      </c>
      <c r="C171" s="35" t="s">
        <v>103</v>
      </c>
      <c r="D171" s="35" t="s">
        <v>103</v>
      </c>
      <c r="E171" s="35" t="s">
        <v>103</v>
      </c>
      <c r="F171" s="35" t="s">
        <v>103</v>
      </c>
      <c r="G171" s="35" t="s">
        <v>103</v>
      </c>
      <c r="H171" s="35" t="s">
        <v>103</v>
      </c>
      <c r="I171" s="35" t="s">
        <v>103</v>
      </c>
      <c r="J171" s="35" t="s">
        <v>103</v>
      </c>
    </row>
    <row r="172" spans="1:10" ht="17.100000000000001" customHeight="1" x14ac:dyDescent="0.2">
      <c r="A172" s="3" t="s">
        <v>37</v>
      </c>
      <c r="B172" s="35" t="s">
        <v>103</v>
      </c>
      <c r="C172" s="35" t="s">
        <v>103</v>
      </c>
      <c r="D172" s="35" t="s">
        <v>103</v>
      </c>
      <c r="E172" s="35" t="s">
        <v>103</v>
      </c>
      <c r="F172" s="35" t="s">
        <v>103</v>
      </c>
      <c r="G172" s="35" t="s">
        <v>103</v>
      </c>
      <c r="H172" s="35" t="s">
        <v>103</v>
      </c>
      <c r="I172" s="35" t="s">
        <v>103</v>
      </c>
      <c r="J172" s="35" t="s">
        <v>103</v>
      </c>
    </row>
    <row r="173" spans="1:10" ht="17.100000000000001" customHeight="1" x14ac:dyDescent="0.2">
      <c r="A173" s="3" t="s">
        <v>40</v>
      </c>
      <c r="B173" s="35">
        <v>435</v>
      </c>
      <c r="C173" s="35">
        <v>290</v>
      </c>
      <c r="D173" s="35">
        <f>C173/B173*1000</f>
        <v>666.66666666666663</v>
      </c>
      <c r="E173" s="35">
        <v>312</v>
      </c>
      <c r="F173" s="35">
        <v>207</v>
      </c>
      <c r="G173" s="35">
        <f>F173/E173*1000</f>
        <v>663.46153846153845</v>
      </c>
      <c r="H173" s="35">
        <v>312</v>
      </c>
      <c r="I173" s="35">
        <v>206</v>
      </c>
      <c r="J173" s="35">
        <f>I173/H173*1000</f>
        <v>660.25641025641028</v>
      </c>
    </row>
    <row r="174" spans="1:10" ht="17.100000000000001" customHeight="1" x14ac:dyDescent="0.2">
      <c r="A174" s="3" t="s">
        <v>38</v>
      </c>
      <c r="B174" s="35">
        <v>423</v>
      </c>
      <c r="C174" s="35">
        <v>147</v>
      </c>
      <c r="D174" s="35">
        <f>C174/B174*1000</f>
        <v>347.51773049645391</v>
      </c>
      <c r="E174" s="35">
        <v>449</v>
      </c>
      <c r="F174" s="35">
        <v>179</v>
      </c>
      <c r="G174" s="35">
        <f>F174/E174*1000</f>
        <v>398.66369710467711</v>
      </c>
      <c r="H174" s="35">
        <v>251</v>
      </c>
      <c r="I174" s="35">
        <v>99</v>
      </c>
      <c r="J174" s="35">
        <f>I174/H174*1000</f>
        <v>394.42231075697208</v>
      </c>
    </row>
    <row r="175" spans="1:10" ht="17.100000000000001" customHeight="1" x14ac:dyDescent="0.2">
      <c r="A175" s="3" t="s">
        <v>87</v>
      </c>
      <c r="B175" s="35">
        <v>324</v>
      </c>
      <c r="C175" s="35">
        <v>209</v>
      </c>
      <c r="D175" s="35">
        <f>C175/B175*1000</f>
        <v>645.06172839506166</v>
      </c>
      <c r="E175" s="35">
        <v>333</v>
      </c>
      <c r="F175" s="35">
        <v>220</v>
      </c>
      <c r="G175" s="35">
        <f>F175/E175*1000</f>
        <v>660.6606606606606</v>
      </c>
      <c r="H175" s="35">
        <v>337</v>
      </c>
      <c r="I175" s="35">
        <v>221</v>
      </c>
      <c r="J175" s="35">
        <f>I175/H175*1000</f>
        <v>655.786350148368</v>
      </c>
    </row>
    <row r="176" spans="1:10" ht="17.100000000000001" customHeight="1" x14ac:dyDescent="0.2">
      <c r="A176" s="3" t="s">
        <v>36</v>
      </c>
      <c r="B176" s="35">
        <f>18+351</f>
        <v>369</v>
      </c>
      <c r="C176" s="35">
        <f>7+181</f>
        <v>188</v>
      </c>
      <c r="D176" s="35">
        <f>C176/B176*1000</f>
        <v>509.48509485094849</v>
      </c>
      <c r="E176" s="35">
        <v>382</v>
      </c>
      <c r="F176" s="35">
        <v>203</v>
      </c>
      <c r="G176" s="35">
        <f>F176/E176*1000</f>
        <v>531.41361256544508</v>
      </c>
      <c r="H176" s="35">
        <v>378</v>
      </c>
      <c r="I176" s="35">
        <v>201</v>
      </c>
      <c r="J176" s="35">
        <f>I176/H176*1000</f>
        <v>531.74603174603169</v>
      </c>
    </row>
    <row r="177" spans="1:10" ht="17.100000000000001" customHeight="1" x14ac:dyDescent="0.2">
      <c r="A177" s="3" t="s">
        <v>43</v>
      </c>
      <c r="B177" s="35" t="s">
        <v>103</v>
      </c>
      <c r="C177" s="35" t="s">
        <v>103</v>
      </c>
      <c r="D177" s="35" t="s">
        <v>103</v>
      </c>
      <c r="E177" s="35" t="s">
        <v>103</v>
      </c>
      <c r="F177" s="35" t="s">
        <v>103</v>
      </c>
      <c r="G177" s="35" t="s">
        <v>103</v>
      </c>
      <c r="H177" s="35" t="s">
        <v>103</v>
      </c>
      <c r="I177" s="35" t="s">
        <v>103</v>
      </c>
      <c r="J177" s="35" t="s">
        <v>103</v>
      </c>
    </row>
    <row r="178" spans="1:10" ht="17.100000000000001" customHeight="1" x14ac:dyDescent="0.2">
      <c r="A178" s="3" t="s">
        <v>88</v>
      </c>
      <c r="B178" s="35" t="s">
        <v>103</v>
      </c>
      <c r="C178" s="35" t="s">
        <v>103</v>
      </c>
      <c r="D178" s="35" t="s">
        <v>103</v>
      </c>
      <c r="E178" s="35" t="s">
        <v>103</v>
      </c>
      <c r="F178" s="35" t="s">
        <v>103</v>
      </c>
      <c r="G178" s="35" t="s">
        <v>103</v>
      </c>
      <c r="H178" s="35" t="s">
        <v>103</v>
      </c>
      <c r="I178" s="35" t="s">
        <v>103</v>
      </c>
      <c r="J178" s="35" t="s">
        <v>103</v>
      </c>
    </row>
    <row r="179" spans="1:10" ht="17.100000000000001" customHeight="1" x14ac:dyDescent="0.2">
      <c r="A179" s="3" t="s">
        <v>47</v>
      </c>
      <c r="B179" s="35">
        <v>236</v>
      </c>
      <c r="C179" s="35">
        <v>140</v>
      </c>
      <c r="D179" s="35">
        <f>C179/B179*1000</f>
        <v>593.22033898305085</v>
      </c>
      <c r="E179" s="35">
        <v>480</v>
      </c>
      <c r="F179" s="35">
        <v>318</v>
      </c>
      <c r="G179" s="35">
        <f>F179/E179*1000</f>
        <v>662.5</v>
      </c>
      <c r="H179" s="35">
        <v>465</v>
      </c>
      <c r="I179" s="35">
        <v>309</v>
      </c>
      <c r="J179" s="35">
        <f>I179/H179*1000</f>
        <v>664.51612903225805</v>
      </c>
    </row>
    <row r="180" spans="1:10" ht="17.100000000000001" customHeight="1" x14ac:dyDescent="0.2">
      <c r="A180" s="3" t="s">
        <v>52</v>
      </c>
      <c r="B180" s="35" t="s">
        <v>103</v>
      </c>
      <c r="C180" s="35" t="s">
        <v>103</v>
      </c>
      <c r="D180" s="35" t="s">
        <v>103</v>
      </c>
      <c r="E180" s="35" t="s">
        <v>103</v>
      </c>
      <c r="F180" s="35" t="s">
        <v>103</v>
      </c>
      <c r="G180" s="35" t="s">
        <v>103</v>
      </c>
      <c r="H180" s="35" t="s">
        <v>103</v>
      </c>
      <c r="I180" s="35" t="s">
        <v>103</v>
      </c>
      <c r="J180" s="35" t="s">
        <v>103</v>
      </c>
    </row>
    <row r="181" spans="1:10" ht="17.100000000000001" customHeight="1" x14ac:dyDescent="0.2">
      <c r="A181" s="3" t="s">
        <v>41</v>
      </c>
      <c r="B181" s="35" t="s">
        <v>103</v>
      </c>
      <c r="C181" s="35" t="s">
        <v>103</v>
      </c>
      <c r="D181" s="35" t="s">
        <v>103</v>
      </c>
      <c r="E181" s="35" t="s">
        <v>103</v>
      </c>
      <c r="F181" s="35" t="s">
        <v>103</v>
      </c>
      <c r="G181" s="35" t="s">
        <v>103</v>
      </c>
      <c r="H181" s="35" t="s">
        <v>103</v>
      </c>
      <c r="I181" s="35" t="s">
        <v>103</v>
      </c>
      <c r="J181" s="35" t="s">
        <v>103</v>
      </c>
    </row>
    <row r="182" spans="1:10" ht="17.100000000000001" customHeight="1" x14ac:dyDescent="0.2">
      <c r="A182" s="3" t="s">
        <v>34</v>
      </c>
      <c r="B182" s="35">
        <v>974</v>
      </c>
      <c r="C182" s="35">
        <v>670</v>
      </c>
      <c r="D182" s="35">
        <f>C182/B182*1000</f>
        <v>687.88501026694053</v>
      </c>
      <c r="E182" s="35">
        <v>962</v>
      </c>
      <c r="F182" s="35">
        <v>661</v>
      </c>
      <c r="G182" s="35">
        <f>F182/E182*1000</f>
        <v>687.1101871101871</v>
      </c>
      <c r="H182" s="35">
        <v>1062</v>
      </c>
      <c r="I182" s="35">
        <v>730</v>
      </c>
      <c r="J182" s="35">
        <f>I182/H182*1000</f>
        <v>687.38229755178907</v>
      </c>
    </row>
    <row r="183" spans="1:10" ht="17.100000000000001" customHeight="1" x14ac:dyDescent="0.2">
      <c r="A183" s="3" t="s">
        <v>89</v>
      </c>
      <c r="B183" s="35">
        <v>88</v>
      </c>
      <c r="C183" s="35">
        <v>66</v>
      </c>
      <c r="D183" s="35">
        <f>C183/B183*1000</f>
        <v>750</v>
      </c>
      <c r="E183" s="35">
        <v>110</v>
      </c>
      <c r="F183" s="35">
        <v>88</v>
      </c>
      <c r="G183" s="35">
        <f>F183/E183*1000</f>
        <v>800</v>
      </c>
      <c r="H183" s="35">
        <v>115</v>
      </c>
      <c r="I183" s="35">
        <v>92</v>
      </c>
      <c r="J183" s="35">
        <f>I183/H183*1000</f>
        <v>800</v>
      </c>
    </row>
    <row r="184" spans="1:10" ht="17.100000000000001" customHeight="1" x14ac:dyDescent="0.2">
      <c r="A184" s="3" t="s">
        <v>91</v>
      </c>
      <c r="B184" s="35" t="s">
        <v>103</v>
      </c>
      <c r="C184" s="35" t="s">
        <v>103</v>
      </c>
      <c r="D184" s="35" t="s">
        <v>103</v>
      </c>
      <c r="E184" s="35" t="s">
        <v>103</v>
      </c>
      <c r="F184" s="35" t="s">
        <v>103</v>
      </c>
      <c r="G184" s="35" t="s">
        <v>103</v>
      </c>
      <c r="H184" s="35" t="s">
        <v>103</v>
      </c>
      <c r="I184" s="35" t="s">
        <v>103</v>
      </c>
      <c r="J184" s="35" t="s">
        <v>103</v>
      </c>
    </row>
    <row r="185" spans="1:10" ht="17.100000000000001" customHeight="1" x14ac:dyDescent="0.2">
      <c r="A185" s="3" t="s">
        <v>32</v>
      </c>
      <c r="B185" s="35" t="s">
        <v>103</v>
      </c>
      <c r="C185" s="35" t="s">
        <v>103</v>
      </c>
      <c r="D185" s="35" t="s">
        <v>103</v>
      </c>
      <c r="E185" s="35" t="s">
        <v>103</v>
      </c>
      <c r="F185" s="35" t="s">
        <v>103</v>
      </c>
      <c r="G185" s="35" t="s">
        <v>103</v>
      </c>
      <c r="H185" s="35" t="s">
        <v>103</v>
      </c>
      <c r="I185" s="35" t="s">
        <v>103</v>
      </c>
      <c r="J185" s="35" t="s">
        <v>103</v>
      </c>
    </row>
    <row r="186" spans="1:10" ht="17.100000000000001" customHeight="1" x14ac:dyDescent="0.2">
      <c r="A186" s="3" t="s">
        <v>90</v>
      </c>
      <c r="B186" s="35">
        <v>94</v>
      </c>
      <c r="C186" s="35">
        <v>51</v>
      </c>
      <c r="D186" s="35">
        <f>C186/B186*1000</f>
        <v>542.55319148936167</v>
      </c>
      <c r="E186" s="35">
        <v>112</v>
      </c>
      <c r="F186" s="35">
        <v>61</v>
      </c>
      <c r="G186" s="35">
        <f>F186/E186*1000</f>
        <v>544.64285714285711</v>
      </c>
      <c r="H186" s="35">
        <v>117</v>
      </c>
      <c r="I186" s="35">
        <v>64</v>
      </c>
      <c r="J186" s="35">
        <f>I186/H186*1000</f>
        <v>547.00854700854711</v>
      </c>
    </row>
    <row r="187" spans="1:10" ht="17.100000000000001" customHeight="1" x14ac:dyDescent="0.2">
      <c r="A187" s="3" t="s">
        <v>31</v>
      </c>
      <c r="B187" s="35">
        <v>95</v>
      </c>
      <c r="C187" s="35">
        <v>63</v>
      </c>
      <c r="D187" s="35">
        <f>C187/B187*1000</f>
        <v>663.15789473684208</v>
      </c>
      <c r="E187" s="35">
        <v>89</v>
      </c>
      <c r="F187" s="35">
        <v>60</v>
      </c>
      <c r="G187" s="35">
        <f>F187/E187*1000</f>
        <v>674.15730337078651</v>
      </c>
      <c r="H187" s="35">
        <v>93</v>
      </c>
      <c r="I187" s="35">
        <v>63</v>
      </c>
      <c r="J187" s="35">
        <f>I187/H187*1000</f>
        <v>677.41935483870964</v>
      </c>
    </row>
    <row r="188" spans="1:10" ht="17.100000000000001" customHeight="1" x14ac:dyDescent="0.2">
      <c r="A188" s="3" t="s">
        <v>92</v>
      </c>
      <c r="B188" s="35" t="s">
        <v>103</v>
      </c>
      <c r="C188" s="35" t="s">
        <v>103</v>
      </c>
      <c r="D188" s="35" t="s">
        <v>103</v>
      </c>
      <c r="E188" s="35" t="s">
        <v>103</v>
      </c>
      <c r="F188" s="35" t="s">
        <v>103</v>
      </c>
      <c r="G188" s="35" t="s">
        <v>103</v>
      </c>
      <c r="H188" s="35" t="s">
        <v>103</v>
      </c>
      <c r="I188" s="35" t="s">
        <v>103</v>
      </c>
      <c r="J188" s="35" t="s">
        <v>103</v>
      </c>
    </row>
    <row r="189" spans="1:10" ht="17.100000000000001" customHeight="1" x14ac:dyDescent="0.2">
      <c r="A189" s="3" t="s">
        <v>50</v>
      </c>
      <c r="B189" s="35" t="s">
        <v>103</v>
      </c>
      <c r="C189" s="35" t="s">
        <v>103</v>
      </c>
      <c r="D189" s="35" t="s">
        <v>103</v>
      </c>
      <c r="E189" s="35" t="s">
        <v>103</v>
      </c>
      <c r="F189" s="35" t="s">
        <v>103</v>
      </c>
      <c r="G189" s="35" t="s">
        <v>103</v>
      </c>
      <c r="H189" s="35" t="s">
        <v>103</v>
      </c>
      <c r="I189" s="35" t="s">
        <v>103</v>
      </c>
      <c r="J189" s="35" t="s">
        <v>103</v>
      </c>
    </row>
    <row r="190" spans="1:10" ht="17.100000000000001" customHeight="1" x14ac:dyDescent="0.2">
      <c r="A190" s="3" t="s">
        <v>35</v>
      </c>
      <c r="B190" s="35">
        <v>748</v>
      </c>
      <c r="C190" s="35">
        <v>376</v>
      </c>
      <c r="D190" s="35">
        <f>C190/B190*1000</f>
        <v>502.67379679144386</v>
      </c>
      <c r="E190" s="35">
        <v>744</v>
      </c>
      <c r="F190" s="35">
        <v>374</v>
      </c>
      <c r="G190" s="35">
        <f>F190/E190*1000</f>
        <v>502.68817204301075</v>
      </c>
      <c r="H190" s="35">
        <v>885</v>
      </c>
      <c r="I190" s="35">
        <v>450</v>
      </c>
      <c r="J190" s="35">
        <f>I190/H190*1000</f>
        <v>508.47457627118644</v>
      </c>
    </row>
    <row r="191" spans="1:10" ht="17.100000000000001" customHeight="1" x14ac:dyDescent="0.2">
      <c r="A191" s="3" t="s">
        <v>49</v>
      </c>
      <c r="B191" s="35" t="s">
        <v>103</v>
      </c>
      <c r="C191" s="35" t="s">
        <v>103</v>
      </c>
      <c r="D191" s="35" t="s">
        <v>103</v>
      </c>
      <c r="E191" s="35" t="s">
        <v>103</v>
      </c>
      <c r="F191" s="35" t="s">
        <v>103</v>
      </c>
      <c r="G191" s="35" t="s">
        <v>103</v>
      </c>
      <c r="H191" s="35" t="s">
        <v>103</v>
      </c>
      <c r="I191" s="35" t="s">
        <v>103</v>
      </c>
      <c r="J191" s="35" t="s">
        <v>103</v>
      </c>
    </row>
    <row r="192" spans="1:10" ht="17.100000000000001" customHeight="1" x14ac:dyDescent="0.2">
      <c r="A192" s="3" t="s">
        <v>45</v>
      </c>
      <c r="B192" s="35" t="s">
        <v>103</v>
      </c>
      <c r="C192" s="35" t="s">
        <v>103</v>
      </c>
      <c r="D192" s="35" t="s">
        <v>103</v>
      </c>
      <c r="E192" s="35">
        <v>108</v>
      </c>
      <c r="F192" s="35">
        <v>72</v>
      </c>
      <c r="G192" s="35">
        <f>F192/E192*1000</f>
        <v>666.66666666666663</v>
      </c>
      <c r="H192" s="35" t="s">
        <v>103</v>
      </c>
      <c r="I192" s="35" t="s">
        <v>103</v>
      </c>
      <c r="J192" s="35" t="s">
        <v>103</v>
      </c>
    </row>
    <row r="193" spans="1:10" ht="17.100000000000001" customHeight="1" x14ac:dyDescent="0.2">
      <c r="A193" s="3" t="s">
        <v>79</v>
      </c>
      <c r="B193" s="35" t="s">
        <v>103</v>
      </c>
      <c r="C193" s="35" t="s">
        <v>103</v>
      </c>
      <c r="D193" s="35" t="s">
        <v>103</v>
      </c>
      <c r="E193" s="35" t="s">
        <v>103</v>
      </c>
      <c r="F193" s="35" t="s">
        <v>103</v>
      </c>
      <c r="G193" s="35" t="s">
        <v>103</v>
      </c>
      <c r="H193" s="35" t="s">
        <v>103</v>
      </c>
      <c r="I193" s="35" t="s">
        <v>103</v>
      </c>
      <c r="J193" s="35" t="s">
        <v>103</v>
      </c>
    </row>
    <row r="194" spans="1:10" x14ac:dyDescent="0.2">
      <c r="A194" s="74" t="s">
        <v>93</v>
      </c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s="8" customFormat="1" ht="12" x14ac:dyDescent="0.2">
      <c r="A195" s="1"/>
      <c r="J195" s="53" t="s">
        <v>99</v>
      </c>
    </row>
    <row r="196" spans="1:10" ht="60" customHeight="1" x14ac:dyDescent="0.2">
      <c r="A196" s="73" t="s">
        <v>74</v>
      </c>
      <c r="B196" s="73"/>
      <c r="C196" s="73"/>
      <c r="D196" s="73"/>
      <c r="E196" s="73"/>
      <c r="F196" s="73"/>
      <c r="G196" s="73"/>
      <c r="H196" s="73"/>
      <c r="I196" s="73"/>
      <c r="J196" s="73"/>
    </row>
    <row r="197" spans="1:10" s="8" customFormat="1" ht="12.75" customHeight="1" x14ac:dyDescent="0.2">
      <c r="A197" s="8" t="s">
        <v>58</v>
      </c>
      <c r="B197" s="15"/>
      <c r="C197" s="15"/>
      <c r="D197" s="15"/>
      <c r="E197" s="15"/>
      <c r="F197" s="15"/>
      <c r="I197" s="15"/>
      <c r="J197" s="15"/>
    </row>
    <row r="198" spans="1:10" ht="20.100000000000001" customHeight="1" x14ac:dyDescent="0.2">
      <c r="A198" s="72" t="s">
        <v>30</v>
      </c>
      <c r="B198" s="72" t="s">
        <v>86</v>
      </c>
      <c r="C198" s="72"/>
      <c r="D198" s="72"/>
      <c r="E198" s="72" t="s">
        <v>95</v>
      </c>
      <c r="F198" s="72"/>
      <c r="G198" s="72"/>
      <c r="H198" s="72" t="s">
        <v>102</v>
      </c>
      <c r="I198" s="72"/>
      <c r="J198" s="72"/>
    </row>
    <row r="199" spans="1:10" ht="39.950000000000003" customHeight="1" x14ac:dyDescent="0.2">
      <c r="A199" s="72"/>
      <c r="B199" s="63" t="s">
        <v>98</v>
      </c>
      <c r="C199" s="63" t="s">
        <v>96</v>
      </c>
      <c r="D199" s="63" t="s">
        <v>97</v>
      </c>
      <c r="E199" s="63" t="s">
        <v>98</v>
      </c>
      <c r="F199" s="63" t="s">
        <v>96</v>
      </c>
      <c r="G199" s="63" t="s">
        <v>97</v>
      </c>
      <c r="H199" s="63" t="s">
        <v>98</v>
      </c>
      <c r="I199" s="63" t="s">
        <v>96</v>
      </c>
      <c r="J199" s="63" t="s">
        <v>97</v>
      </c>
    </row>
    <row r="200" spans="1:10" s="61" customFormat="1" ht="25.5" customHeight="1" x14ac:dyDescent="0.2">
      <c r="A200" s="6" t="s">
        <v>68</v>
      </c>
      <c r="B200" s="34">
        <f>SUM(B201:B232)</f>
        <v>3178</v>
      </c>
      <c r="C200" s="34">
        <f>SUM(C201:C232)</f>
        <v>1824</v>
      </c>
      <c r="D200" s="34">
        <f>C200/B200*1000</f>
        <v>573.94587791063566</v>
      </c>
      <c r="E200" s="34">
        <v>3003</v>
      </c>
      <c r="F200" s="34">
        <v>1881</v>
      </c>
      <c r="G200" s="34">
        <f>F200/E200*1000</f>
        <v>626.37362637362639</v>
      </c>
      <c r="H200" s="34">
        <f>SUM(H201:H232)</f>
        <v>3037</v>
      </c>
      <c r="I200" s="34">
        <f>SUM(I201:I232)</f>
        <v>1852</v>
      </c>
      <c r="J200" s="34">
        <f>I200/H200*1000</f>
        <v>609.81231478432665</v>
      </c>
    </row>
    <row r="201" spans="1:10" s="61" customFormat="1" ht="17.100000000000001" customHeight="1" x14ac:dyDescent="0.2">
      <c r="A201" s="3" t="s">
        <v>39</v>
      </c>
      <c r="B201" s="35" t="s">
        <v>103</v>
      </c>
      <c r="C201" s="35" t="s">
        <v>103</v>
      </c>
      <c r="D201" s="35" t="s">
        <v>103</v>
      </c>
      <c r="E201" s="35" t="s">
        <v>103</v>
      </c>
      <c r="F201" s="35" t="s">
        <v>103</v>
      </c>
      <c r="G201" s="35" t="s">
        <v>103</v>
      </c>
      <c r="H201" s="35" t="s">
        <v>103</v>
      </c>
      <c r="I201" s="35" t="s">
        <v>103</v>
      </c>
      <c r="J201" s="35" t="s">
        <v>103</v>
      </c>
    </row>
    <row r="202" spans="1:10" s="61" customFormat="1" ht="17.100000000000001" customHeight="1" x14ac:dyDescent="0.2">
      <c r="A202" s="3" t="s">
        <v>94</v>
      </c>
      <c r="B202" s="35" t="s">
        <v>103</v>
      </c>
      <c r="C202" s="35" t="s">
        <v>103</v>
      </c>
      <c r="D202" s="35" t="s">
        <v>103</v>
      </c>
      <c r="E202" s="35" t="s">
        <v>103</v>
      </c>
      <c r="F202" s="35" t="s">
        <v>103</v>
      </c>
      <c r="G202" s="35" t="s">
        <v>103</v>
      </c>
      <c r="H202" s="35" t="s">
        <v>103</v>
      </c>
      <c r="I202" s="35" t="s">
        <v>103</v>
      </c>
      <c r="J202" s="35" t="s">
        <v>103</v>
      </c>
    </row>
    <row r="203" spans="1:10" s="61" customFormat="1" ht="17.100000000000001" customHeight="1" x14ac:dyDescent="0.2">
      <c r="A203" s="3" t="s">
        <v>46</v>
      </c>
      <c r="B203" s="35">
        <v>10</v>
      </c>
      <c r="C203" s="35">
        <v>7</v>
      </c>
      <c r="D203" s="35">
        <f>C203/B203*1000</f>
        <v>700</v>
      </c>
      <c r="E203" s="35">
        <v>26</v>
      </c>
      <c r="F203" s="35">
        <v>19</v>
      </c>
      <c r="G203" s="35">
        <f>F203/E203*1000</f>
        <v>730.76923076923072</v>
      </c>
      <c r="H203" s="35">
        <v>15</v>
      </c>
      <c r="I203" s="35">
        <v>12</v>
      </c>
      <c r="J203" s="35">
        <f>I203/H203*1000</f>
        <v>800</v>
      </c>
    </row>
    <row r="204" spans="1:10" s="61" customFormat="1" ht="17.100000000000001" customHeight="1" x14ac:dyDescent="0.2">
      <c r="A204" s="3" t="s">
        <v>42</v>
      </c>
      <c r="B204" s="35" t="s">
        <v>103</v>
      </c>
      <c r="C204" s="35" t="s">
        <v>103</v>
      </c>
      <c r="D204" s="35" t="s">
        <v>103</v>
      </c>
      <c r="E204" s="35" t="s">
        <v>103</v>
      </c>
      <c r="F204" s="35" t="s">
        <v>103</v>
      </c>
      <c r="G204" s="35" t="s">
        <v>103</v>
      </c>
      <c r="H204" s="35" t="s">
        <v>103</v>
      </c>
      <c r="I204" s="35" t="s">
        <v>103</v>
      </c>
      <c r="J204" s="35" t="s">
        <v>103</v>
      </c>
    </row>
    <row r="205" spans="1:10" s="61" customFormat="1" ht="17.100000000000001" customHeight="1" x14ac:dyDescent="0.2">
      <c r="A205" s="3" t="s">
        <v>51</v>
      </c>
      <c r="B205" s="35" t="s">
        <v>103</v>
      </c>
      <c r="C205" s="35" t="s">
        <v>103</v>
      </c>
      <c r="D205" s="35" t="s">
        <v>103</v>
      </c>
      <c r="E205" s="35" t="s">
        <v>103</v>
      </c>
      <c r="F205" s="35" t="s">
        <v>103</v>
      </c>
      <c r="G205" s="35" t="s">
        <v>103</v>
      </c>
      <c r="H205" s="35" t="s">
        <v>103</v>
      </c>
      <c r="I205" s="35" t="s">
        <v>103</v>
      </c>
      <c r="J205" s="35" t="s">
        <v>103</v>
      </c>
    </row>
    <row r="206" spans="1:10" s="61" customFormat="1" ht="17.100000000000001" customHeight="1" x14ac:dyDescent="0.2">
      <c r="A206" s="3" t="s">
        <v>33</v>
      </c>
      <c r="B206" s="35">
        <v>28</v>
      </c>
      <c r="C206" s="35">
        <v>9</v>
      </c>
      <c r="D206" s="35">
        <f>C206/B206*1000</f>
        <v>321.42857142857144</v>
      </c>
      <c r="E206" s="35">
        <v>24</v>
      </c>
      <c r="F206" s="35">
        <v>8</v>
      </c>
      <c r="G206" s="35">
        <f>F206/E206*1000</f>
        <v>333.33333333333331</v>
      </c>
      <c r="H206" s="35">
        <v>57</v>
      </c>
      <c r="I206" s="35">
        <v>17</v>
      </c>
      <c r="J206" s="35">
        <f>I206/H206*1000</f>
        <v>298.24561403508773</v>
      </c>
    </row>
    <row r="207" spans="1:10" s="61" customFormat="1" ht="17.100000000000001" customHeight="1" x14ac:dyDescent="0.2">
      <c r="A207" s="3" t="s">
        <v>48</v>
      </c>
      <c r="B207" s="35">
        <v>66</v>
      </c>
      <c r="C207" s="35">
        <v>79</v>
      </c>
      <c r="D207" s="35">
        <f>C207/B207*1000</f>
        <v>1196.969696969697</v>
      </c>
      <c r="E207" s="35">
        <v>67</v>
      </c>
      <c r="F207" s="35">
        <v>70</v>
      </c>
      <c r="G207" s="35">
        <f>F207/E207*1000</f>
        <v>1044.7761194029849</v>
      </c>
      <c r="H207" s="35">
        <v>67</v>
      </c>
      <c r="I207" s="35">
        <v>74</v>
      </c>
      <c r="J207" s="35">
        <f>I207/H207*1000</f>
        <v>1104.4776119402986</v>
      </c>
    </row>
    <row r="208" spans="1:10" s="61" customFormat="1" ht="17.100000000000001" customHeight="1" x14ac:dyDescent="0.2">
      <c r="A208" s="3" t="s">
        <v>44</v>
      </c>
      <c r="B208" s="35">
        <v>1020</v>
      </c>
      <c r="C208" s="35">
        <v>529</v>
      </c>
      <c r="D208" s="35">
        <f>C208/B208*1000</f>
        <v>518.62745098039215</v>
      </c>
      <c r="E208" s="35">
        <v>657</v>
      </c>
      <c r="F208" s="35">
        <v>345</v>
      </c>
      <c r="G208" s="35">
        <f>F208/E208*1000</f>
        <v>525.1141552511416</v>
      </c>
      <c r="H208" s="35">
        <v>750</v>
      </c>
      <c r="I208" s="35">
        <v>404</v>
      </c>
      <c r="J208" s="35">
        <f>I208/H208*1000</f>
        <v>538.66666666666663</v>
      </c>
    </row>
    <row r="209" spans="1:10" s="61" customFormat="1" ht="17.100000000000001" customHeight="1" x14ac:dyDescent="0.2">
      <c r="A209" s="3" t="s">
        <v>80</v>
      </c>
      <c r="B209" s="35" t="s">
        <v>103</v>
      </c>
      <c r="C209" s="35" t="s">
        <v>103</v>
      </c>
      <c r="D209" s="35" t="s">
        <v>103</v>
      </c>
      <c r="E209" s="35" t="s">
        <v>103</v>
      </c>
      <c r="F209" s="35" t="s">
        <v>103</v>
      </c>
      <c r="G209" s="35" t="s">
        <v>103</v>
      </c>
      <c r="H209" s="35" t="s">
        <v>103</v>
      </c>
      <c r="I209" s="35" t="s">
        <v>103</v>
      </c>
      <c r="J209" s="35" t="s">
        <v>103</v>
      </c>
    </row>
    <row r="210" spans="1:10" s="61" customFormat="1" ht="17.100000000000001" customHeight="1" x14ac:dyDescent="0.2">
      <c r="A210" s="3" t="s">
        <v>81</v>
      </c>
      <c r="B210" s="35" t="s">
        <v>103</v>
      </c>
      <c r="C210" s="35" t="s">
        <v>103</v>
      </c>
      <c r="D210" s="35" t="s">
        <v>103</v>
      </c>
      <c r="E210" s="35" t="s">
        <v>103</v>
      </c>
      <c r="F210" s="35" t="s">
        <v>103</v>
      </c>
      <c r="G210" s="35" t="s">
        <v>103</v>
      </c>
      <c r="H210" s="35" t="s">
        <v>103</v>
      </c>
      <c r="I210" s="35" t="s">
        <v>103</v>
      </c>
      <c r="J210" s="35" t="s">
        <v>103</v>
      </c>
    </row>
    <row r="211" spans="1:10" s="61" customFormat="1" ht="17.100000000000001" customHeight="1" x14ac:dyDescent="0.2">
      <c r="A211" s="3" t="s">
        <v>37</v>
      </c>
      <c r="B211" s="35">
        <v>61</v>
      </c>
      <c r="C211" s="35">
        <v>36</v>
      </c>
      <c r="D211" s="35">
        <f>C211/B211*1000</f>
        <v>590.1639344262295</v>
      </c>
      <c r="E211" s="35">
        <v>63</v>
      </c>
      <c r="F211" s="35">
        <v>36</v>
      </c>
      <c r="G211" s="35">
        <f>F211/E211*1000</f>
        <v>571.42857142857144</v>
      </c>
      <c r="H211" s="35">
        <v>224</v>
      </c>
      <c r="I211" s="35">
        <v>128</v>
      </c>
      <c r="J211" s="35">
        <f>I211/H211*1000</f>
        <v>571.42857142857144</v>
      </c>
    </row>
    <row r="212" spans="1:10" s="61" customFormat="1" ht="17.100000000000001" customHeight="1" x14ac:dyDescent="0.2">
      <c r="A212" s="3" t="s">
        <v>40</v>
      </c>
      <c r="B212" s="35">
        <v>37</v>
      </c>
      <c r="C212" s="35">
        <v>53</v>
      </c>
      <c r="D212" s="35">
        <f>C212/B212*1000</f>
        <v>1432.4324324324325</v>
      </c>
      <c r="E212" s="35">
        <v>30</v>
      </c>
      <c r="F212" s="35">
        <v>42</v>
      </c>
      <c r="G212" s="35">
        <f>F212/E212*1000</f>
        <v>1400</v>
      </c>
      <c r="H212" s="35">
        <v>33</v>
      </c>
      <c r="I212" s="35">
        <v>44</v>
      </c>
      <c r="J212" s="35">
        <f>I212/H212*1000</f>
        <v>1333.3333333333333</v>
      </c>
    </row>
    <row r="213" spans="1:10" s="61" customFormat="1" ht="17.100000000000001" customHeight="1" x14ac:dyDescent="0.2">
      <c r="A213" s="3" t="s">
        <v>38</v>
      </c>
      <c r="B213" s="35">
        <v>1398</v>
      </c>
      <c r="C213" s="35">
        <v>530</v>
      </c>
      <c r="D213" s="35">
        <f>C213/B213*1000</f>
        <v>379.1130185979971</v>
      </c>
      <c r="E213" s="35">
        <v>1487</v>
      </c>
      <c r="F213" s="35">
        <v>660</v>
      </c>
      <c r="G213" s="35">
        <f>F213/E213*1000</f>
        <v>443.84667114996643</v>
      </c>
      <c r="H213" s="35">
        <v>1323</v>
      </c>
      <c r="I213" s="35">
        <v>586</v>
      </c>
      <c r="J213" s="35">
        <f>I213/H213*1000</f>
        <v>442.93272864701436</v>
      </c>
    </row>
    <row r="214" spans="1:10" s="61" customFormat="1" ht="17.100000000000001" customHeight="1" x14ac:dyDescent="0.2">
      <c r="A214" s="3" t="s">
        <v>87</v>
      </c>
      <c r="B214" s="35">
        <v>170</v>
      </c>
      <c r="C214" s="35">
        <v>326</v>
      </c>
      <c r="D214" s="35">
        <f>C214/B214*1000</f>
        <v>1917.6470588235295</v>
      </c>
      <c r="E214" s="35">
        <v>200</v>
      </c>
      <c r="F214" s="35">
        <v>310</v>
      </c>
      <c r="G214" s="35">
        <f>F214/E214*1000</f>
        <v>1550</v>
      </c>
      <c r="H214" s="35">
        <v>195</v>
      </c>
      <c r="I214" s="35">
        <v>302</v>
      </c>
      <c r="J214" s="35">
        <f>I214/H214*1000</f>
        <v>1548.7179487179487</v>
      </c>
    </row>
    <row r="215" spans="1:10" s="61" customFormat="1" ht="17.100000000000001" customHeight="1" x14ac:dyDescent="0.2">
      <c r="A215" s="3" t="s">
        <v>36</v>
      </c>
      <c r="B215" s="35">
        <f>242+122</f>
        <v>364</v>
      </c>
      <c r="C215" s="35">
        <f>108+79</f>
        <v>187</v>
      </c>
      <c r="D215" s="35">
        <f>C215/B215*1000</f>
        <v>513.73626373626371</v>
      </c>
      <c r="E215" s="35">
        <f>210+150</f>
        <v>360</v>
      </c>
      <c r="F215" s="35">
        <f>94+177</f>
        <v>271</v>
      </c>
      <c r="G215" s="35">
        <f>F215/E215*1000</f>
        <v>752.77777777777771</v>
      </c>
      <c r="H215" s="35">
        <v>360</v>
      </c>
      <c r="I215" s="35">
        <v>268</v>
      </c>
      <c r="J215" s="35">
        <f>I215/H215*1000</f>
        <v>744.44444444444446</v>
      </c>
    </row>
    <row r="216" spans="1:10" s="61" customFormat="1" ht="17.100000000000001" customHeight="1" x14ac:dyDescent="0.2">
      <c r="A216" s="3" t="s">
        <v>43</v>
      </c>
      <c r="B216" s="35" t="s">
        <v>103</v>
      </c>
      <c r="C216" s="35" t="s">
        <v>103</v>
      </c>
      <c r="D216" s="35" t="s">
        <v>103</v>
      </c>
      <c r="E216" s="35" t="s">
        <v>103</v>
      </c>
      <c r="F216" s="35" t="s">
        <v>103</v>
      </c>
      <c r="G216" s="35" t="s">
        <v>103</v>
      </c>
      <c r="H216" s="35" t="s">
        <v>103</v>
      </c>
      <c r="I216" s="35" t="s">
        <v>103</v>
      </c>
      <c r="J216" s="35" t="s">
        <v>103</v>
      </c>
    </row>
    <row r="217" spans="1:10" s="61" customFormat="1" ht="17.100000000000001" customHeight="1" x14ac:dyDescent="0.2">
      <c r="A217" s="3" t="s">
        <v>88</v>
      </c>
      <c r="B217" s="35" t="s">
        <v>103</v>
      </c>
      <c r="C217" s="35" t="s">
        <v>103</v>
      </c>
      <c r="D217" s="35" t="s">
        <v>103</v>
      </c>
      <c r="E217" s="35" t="s">
        <v>103</v>
      </c>
      <c r="F217" s="35" t="s">
        <v>103</v>
      </c>
      <c r="G217" s="35" t="s">
        <v>103</v>
      </c>
      <c r="H217" s="35" t="s">
        <v>103</v>
      </c>
      <c r="I217" s="35" t="s">
        <v>103</v>
      </c>
      <c r="J217" s="35" t="s">
        <v>103</v>
      </c>
    </row>
    <row r="218" spans="1:10" s="61" customFormat="1" ht="17.100000000000001" customHeight="1" x14ac:dyDescent="0.2">
      <c r="A218" s="3" t="s">
        <v>47</v>
      </c>
      <c r="B218" s="35">
        <v>24</v>
      </c>
      <c r="C218" s="35">
        <v>68</v>
      </c>
      <c r="D218" s="35">
        <f>C218/B218*1000</f>
        <v>2833.3333333333335</v>
      </c>
      <c r="E218" s="35">
        <v>12</v>
      </c>
      <c r="F218" s="35">
        <v>46</v>
      </c>
      <c r="G218" s="35">
        <f>F218/E218*1000</f>
        <v>3833.3333333333335</v>
      </c>
      <c r="H218" s="35">
        <v>13</v>
      </c>
      <c r="I218" s="35">
        <v>17</v>
      </c>
      <c r="J218" s="35">
        <f>I218/H218*1000</f>
        <v>1307.6923076923076</v>
      </c>
    </row>
    <row r="219" spans="1:10" s="61" customFormat="1" ht="17.100000000000001" customHeight="1" x14ac:dyDescent="0.2">
      <c r="A219" s="3" t="s">
        <v>52</v>
      </c>
      <c r="B219" s="35" t="s">
        <v>103</v>
      </c>
      <c r="C219" s="35" t="s">
        <v>103</v>
      </c>
      <c r="D219" s="35" t="s">
        <v>103</v>
      </c>
      <c r="E219" s="35" t="s">
        <v>103</v>
      </c>
      <c r="F219" s="35" t="s">
        <v>103</v>
      </c>
      <c r="G219" s="35" t="s">
        <v>103</v>
      </c>
      <c r="H219" s="35" t="s">
        <v>103</v>
      </c>
      <c r="I219" s="35" t="s">
        <v>103</v>
      </c>
      <c r="J219" s="35" t="s">
        <v>103</v>
      </c>
    </row>
    <row r="220" spans="1:10" s="61" customFormat="1" ht="17.100000000000001" customHeight="1" x14ac:dyDescent="0.2">
      <c r="A220" s="3" t="s">
        <v>41</v>
      </c>
      <c r="B220" s="35" t="s">
        <v>103</v>
      </c>
      <c r="C220" s="35" t="s">
        <v>103</v>
      </c>
      <c r="D220" s="35" t="s">
        <v>103</v>
      </c>
      <c r="E220" s="35" t="s">
        <v>103</v>
      </c>
      <c r="F220" s="35" t="s">
        <v>103</v>
      </c>
      <c r="G220" s="35" t="s">
        <v>103</v>
      </c>
      <c r="H220" s="35" t="s">
        <v>103</v>
      </c>
      <c r="I220" s="35" t="s">
        <v>103</v>
      </c>
      <c r="J220" s="35" t="s">
        <v>103</v>
      </c>
    </row>
    <row r="221" spans="1:10" s="61" customFormat="1" ht="17.100000000000001" customHeight="1" x14ac:dyDescent="0.2">
      <c r="A221" s="3" t="s">
        <v>34</v>
      </c>
      <c r="B221" s="35" t="s">
        <v>103</v>
      </c>
      <c r="C221" s="35" t="s">
        <v>103</v>
      </c>
      <c r="D221" s="35" t="s">
        <v>103</v>
      </c>
      <c r="E221" s="35" t="s">
        <v>103</v>
      </c>
      <c r="F221" s="35" t="s">
        <v>103</v>
      </c>
      <c r="G221" s="35" t="s">
        <v>103</v>
      </c>
      <c r="H221" s="35" t="s">
        <v>103</v>
      </c>
      <c r="I221" s="35" t="s">
        <v>103</v>
      </c>
      <c r="J221" s="35" t="s">
        <v>103</v>
      </c>
    </row>
    <row r="222" spans="1:10" s="61" customFormat="1" ht="17.100000000000001" customHeight="1" x14ac:dyDescent="0.2">
      <c r="A222" s="3" t="s">
        <v>89</v>
      </c>
      <c r="B222" s="35" t="s">
        <v>103</v>
      </c>
      <c r="C222" s="35" t="s">
        <v>103</v>
      </c>
      <c r="D222" s="35" t="s">
        <v>103</v>
      </c>
      <c r="E222" s="35" t="s">
        <v>103</v>
      </c>
      <c r="F222" s="35" t="s">
        <v>103</v>
      </c>
      <c r="G222" s="35" t="s">
        <v>103</v>
      </c>
      <c r="H222" s="35" t="s">
        <v>103</v>
      </c>
      <c r="I222" s="35" t="s">
        <v>103</v>
      </c>
      <c r="J222" s="35" t="s">
        <v>103</v>
      </c>
    </row>
    <row r="223" spans="1:10" s="61" customFormat="1" ht="17.100000000000001" customHeight="1" x14ac:dyDescent="0.2">
      <c r="A223" s="3" t="s">
        <v>91</v>
      </c>
      <c r="B223" s="35" t="s">
        <v>103</v>
      </c>
      <c r="C223" s="35" t="s">
        <v>103</v>
      </c>
      <c r="D223" s="35" t="s">
        <v>103</v>
      </c>
      <c r="E223" s="35" t="s">
        <v>103</v>
      </c>
      <c r="F223" s="35" t="s">
        <v>103</v>
      </c>
      <c r="G223" s="35" t="s">
        <v>103</v>
      </c>
      <c r="H223" s="35" t="s">
        <v>103</v>
      </c>
      <c r="I223" s="35" t="s">
        <v>103</v>
      </c>
      <c r="J223" s="35" t="s">
        <v>103</v>
      </c>
    </row>
    <row r="224" spans="1:10" s="61" customFormat="1" ht="17.100000000000001" customHeight="1" x14ac:dyDescent="0.2">
      <c r="A224" s="3" t="s">
        <v>32</v>
      </c>
      <c r="B224" s="35" t="s">
        <v>103</v>
      </c>
      <c r="C224" s="35" t="s">
        <v>103</v>
      </c>
      <c r="D224" s="35" t="s">
        <v>103</v>
      </c>
      <c r="E224" s="35" t="s">
        <v>103</v>
      </c>
      <c r="F224" s="35" t="s">
        <v>103</v>
      </c>
      <c r="G224" s="35" t="s">
        <v>103</v>
      </c>
      <c r="H224" s="35" t="s">
        <v>103</v>
      </c>
      <c r="I224" s="35" t="s">
        <v>103</v>
      </c>
      <c r="J224" s="35" t="s">
        <v>103</v>
      </c>
    </row>
    <row r="225" spans="1:10" s="61" customFormat="1" ht="17.100000000000001" customHeight="1" x14ac:dyDescent="0.2">
      <c r="A225" s="3" t="s">
        <v>90</v>
      </c>
      <c r="B225" s="35" t="s">
        <v>103</v>
      </c>
      <c r="C225" s="35" t="s">
        <v>103</v>
      </c>
      <c r="D225" s="35" t="s">
        <v>103</v>
      </c>
      <c r="E225" s="35" t="s">
        <v>103</v>
      </c>
      <c r="F225" s="35" t="s">
        <v>103</v>
      </c>
      <c r="G225" s="35" t="s">
        <v>103</v>
      </c>
      <c r="H225" s="35" t="s">
        <v>103</v>
      </c>
      <c r="I225" s="35" t="s">
        <v>103</v>
      </c>
      <c r="J225" s="35" t="s">
        <v>103</v>
      </c>
    </row>
    <row r="226" spans="1:10" s="61" customFormat="1" ht="17.100000000000001" customHeight="1" x14ac:dyDescent="0.2">
      <c r="A226" s="3" t="s">
        <v>31</v>
      </c>
      <c r="B226" s="35" t="s">
        <v>103</v>
      </c>
      <c r="C226" s="35" t="s">
        <v>103</v>
      </c>
      <c r="D226" s="35" t="s">
        <v>103</v>
      </c>
      <c r="E226" s="35" t="s">
        <v>103</v>
      </c>
      <c r="F226" s="35" t="s">
        <v>103</v>
      </c>
      <c r="G226" s="35" t="s">
        <v>103</v>
      </c>
      <c r="H226" s="35" t="s">
        <v>103</v>
      </c>
      <c r="I226" s="35" t="s">
        <v>103</v>
      </c>
      <c r="J226" s="35" t="s">
        <v>103</v>
      </c>
    </row>
    <row r="227" spans="1:10" s="61" customFormat="1" ht="17.100000000000001" customHeight="1" x14ac:dyDescent="0.2">
      <c r="A227" s="3" t="s">
        <v>92</v>
      </c>
      <c r="B227" s="35" t="s">
        <v>103</v>
      </c>
      <c r="C227" s="35" t="s">
        <v>103</v>
      </c>
      <c r="D227" s="35" t="s">
        <v>103</v>
      </c>
      <c r="E227" s="35" t="s">
        <v>103</v>
      </c>
      <c r="F227" s="35" t="s">
        <v>103</v>
      </c>
      <c r="G227" s="35" t="s">
        <v>103</v>
      </c>
      <c r="H227" s="35" t="s">
        <v>103</v>
      </c>
      <c r="I227" s="35" t="s">
        <v>103</v>
      </c>
      <c r="J227" s="35" t="s">
        <v>103</v>
      </c>
    </row>
    <row r="228" spans="1:10" s="61" customFormat="1" ht="17.100000000000001" customHeight="1" x14ac:dyDescent="0.2">
      <c r="A228" s="3" t="s">
        <v>50</v>
      </c>
      <c r="B228" s="35" t="s">
        <v>103</v>
      </c>
      <c r="C228" s="35" t="s">
        <v>103</v>
      </c>
      <c r="D228" s="35" t="s">
        <v>103</v>
      </c>
      <c r="E228" s="35" t="s">
        <v>103</v>
      </c>
      <c r="F228" s="35" t="s">
        <v>103</v>
      </c>
      <c r="G228" s="35" t="s">
        <v>103</v>
      </c>
      <c r="H228" s="35" t="s">
        <v>103</v>
      </c>
      <c r="I228" s="35" t="s">
        <v>103</v>
      </c>
      <c r="J228" s="35" t="s">
        <v>103</v>
      </c>
    </row>
    <row r="229" spans="1:10" s="61" customFormat="1" ht="17.100000000000001" customHeight="1" x14ac:dyDescent="0.2">
      <c r="A229" s="3" t="s">
        <v>35</v>
      </c>
      <c r="B229" s="35" t="s">
        <v>103</v>
      </c>
      <c r="C229" s="35" t="s">
        <v>103</v>
      </c>
      <c r="D229" s="35" t="s">
        <v>103</v>
      </c>
      <c r="E229" s="35" t="s">
        <v>103</v>
      </c>
      <c r="F229" s="35" t="s">
        <v>103</v>
      </c>
      <c r="G229" s="35" t="s">
        <v>103</v>
      </c>
      <c r="H229" s="35" t="s">
        <v>103</v>
      </c>
      <c r="I229" s="35" t="s">
        <v>103</v>
      </c>
      <c r="J229" s="35" t="s">
        <v>103</v>
      </c>
    </row>
    <row r="230" spans="1:10" s="61" customFormat="1" ht="17.100000000000001" customHeight="1" x14ac:dyDescent="0.2">
      <c r="A230" s="3" t="s">
        <v>49</v>
      </c>
      <c r="B230" s="35" t="s">
        <v>103</v>
      </c>
      <c r="C230" s="35" t="s">
        <v>103</v>
      </c>
      <c r="D230" s="35" t="s">
        <v>103</v>
      </c>
      <c r="E230" s="35" t="s">
        <v>103</v>
      </c>
      <c r="F230" s="35" t="s">
        <v>103</v>
      </c>
      <c r="G230" s="35" t="s">
        <v>103</v>
      </c>
      <c r="H230" s="35" t="s">
        <v>103</v>
      </c>
      <c r="I230" s="35" t="s">
        <v>103</v>
      </c>
      <c r="J230" s="35" t="s">
        <v>103</v>
      </c>
    </row>
    <row r="231" spans="1:10" s="61" customFormat="1" ht="17.100000000000001" customHeight="1" x14ac:dyDescent="0.2">
      <c r="A231" s="3" t="s">
        <v>45</v>
      </c>
      <c r="B231" s="35" t="s">
        <v>103</v>
      </c>
      <c r="C231" s="35" t="s">
        <v>103</v>
      </c>
      <c r="D231" s="35" t="s">
        <v>103</v>
      </c>
      <c r="E231" s="35">
        <v>77</v>
      </c>
      <c r="F231" s="35">
        <v>74</v>
      </c>
      <c r="G231" s="35">
        <f>F231/E231*1000</f>
        <v>961.03896103896102</v>
      </c>
      <c r="H231" s="35" t="s">
        <v>103</v>
      </c>
      <c r="I231" s="35" t="s">
        <v>103</v>
      </c>
      <c r="J231" s="35" t="s">
        <v>103</v>
      </c>
    </row>
    <row r="232" spans="1:10" s="61" customFormat="1" ht="17.100000000000001" customHeight="1" x14ac:dyDescent="0.2">
      <c r="A232" s="3" t="s">
        <v>79</v>
      </c>
      <c r="B232" s="35" t="s">
        <v>103</v>
      </c>
      <c r="C232" s="35" t="s">
        <v>103</v>
      </c>
      <c r="D232" s="35" t="s">
        <v>103</v>
      </c>
      <c r="E232" s="35" t="s">
        <v>103</v>
      </c>
      <c r="F232" s="35" t="s">
        <v>103</v>
      </c>
      <c r="G232" s="35" t="s">
        <v>103</v>
      </c>
      <c r="H232" s="35" t="s">
        <v>103</v>
      </c>
      <c r="I232" s="35" t="s">
        <v>103</v>
      </c>
      <c r="J232" s="35" t="s">
        <v>103</v>
      </c>
    </row>
    <row r="233" spans="1:10" s="8" customFormat="1" ht="12" x14ac:dyDescent="0.2">
      <c r="A233" s="4"/>
    </row>
    <row r="234" spans="1:10" s="8" customFormat="1" ht="12" x14ac:dyDescent="0.2">
      <c r="A234" s="1"/>
      <c r="J234" s="53" t="s">
        <v>99</v>
      </c>
    </row>
    <row r="235" spans="1:10" ht="60" customHeight="1" x14ac:dyDescent="0.2">
      <c r="A235" s="73" t="s">
        <v>75</v>
      </c>
      <c r="B235" s="73"/>
      <c r="C235" s="73"/>
      <c r="D235" s="73"/>
      <c r="E235" s="73"/>
      <c r="F235" s="73"/>
      <c r="G235" s="73"/>
      <c r="H235" s="73"/>
      <c r="I235" s="73"/>
      <c r="J235" s="73"/>
    </row>
    <row r="236" spans="1:10" s="8" customFormat="1" ht="12.75" customHeight="1" x14ac:dyDescent="0.2">
      <c r="A236" s="8" t="s">
        <v>59</v>
      </c>
      <c r="B236" s="15"/>
      <c r="C236" s="15"/>
      <c r="D236" s="15"/>
      <c r="E236" s="15"/>
      <c r="F236" s="15"/>
      <c r="I236" s="15"/>
      <c r="J236" s="15"/>
    </row>
    <row r="237" spans="1:10" ht="20.25" customHeight="1" x14ac:dyDescent="0.2">
      <c r="A237" s="72" t="s">
        <v>30</v>
      </c>
      <c r="B237" s="72" t="s">
        <v>86</v>
      </c>
      <c r="C237" s="72"/>
      <c r="D237" s="72"/>
      <c r="E237" s="72" t="s">
        <v>95</v>
      </c>
      <c r="F237" s="72"/>
      <c r="G237" s="72"/>
      <c r="H237" s="72" t="s">
        <v>102</v>
      </c>
      <c r="I237" s="72"/>
      <c r="J237" s="72"/>
    </row>
    <row r="238" spans="1:10" ht="39.950000000000003" customHeight="1" x14ac:dyDescent="0.2">
      <c r="A238" s="72"/>
      <c r="B238" s="63" t="s">
        <v>98</v>
      </c>
      <c r="C238" s="63" t="s">
        <v>96</v>
      </c>
      <c r="D238" s="63" t="s">
        <v>97</v>
      </c>
      <c r="E238" s="63" t="s">
        <v>98</v>
      </c>
      <c r="F238" s="63" t="s">
        <v>96</v>
      </c>
      <c r="G238" s="63" t="s">
        <v>97</v>
      </c>
      <c r="H238" s="63" t="s">
        <v>98</v>
      </c>
      <c r="I238" s="63" t="s">
        <v>96</v>
      </c>
      <c r="J238" s="63" t="s">
        <v>97</v>
      </c>
    </row>
    <row r="239" spans="1:10" ht="25.5" customHeight="1" x14ac:dyDescent="0.2">
      <c r="A239" s="6" t="s">
        <v>68</v>
      </c>
      <c r="B239" s="34">
        <f>SUM(B240:B271)</f>
        <v>19350</v>
      </c>
      <c r="C239" s="34">
        <f>SUM(C240:C271)</f>
        <v>17949</v>
      </c>
      <c r="D239" s="34">
        <f t="shared" ref="D239" si="18">C239/B239*1000</f>
        <v>927.59689922480618</v>
      </c>
      <c r="E239" s="34">
        <f>SUM(E240:E271)</f>
        <v>21116</v>
      </c>
      <c r="F239" s="34">
        <f>SUM(F240:F271)</f>
        <v>20069</v>
      </c>
      <c r="G239" s="34">
        <f t="shared" ref="G239:G254" si="19">F239/E239*1000</f>
        <v>950.41674559575677</v>
      </c>
      <c r="H239" s="34">
        <f>SUM(H240:H271)</f>
        <v>20986</v>
      </c>
      <c r="I239" s="34">
        <f>SUM(I240:I271)</f>
        <v>18569</v>
      </c>
      <c r="J239" s="34">
        <f t="shared" ref="J239:J254" si="20">I239/H239*1000</f>
        <v>884.82798055846752</v>
      </c>
    </row>
    <row r="240" spans="1:10" s="61" customFormat="1" ht="17.100000000000001" customHeight="1" x14ac:dyDescent="0.2">
      <c r="A240" s="3" t="s">
        <v>39</v>
      </c>
      <c r="B240" s="35">
        <v>206</v>
      </c>
      <c r="C240" s="35">
        <v>287</v>
      </c>
      <c r="D240" s="35">
        <f t="shared" ref="D240:D254" si="21">C240/B240*1000</f>
        <v>1393.2038834951456</v>
      </c>
      <c r="E240" s="35">
        <v>110</v>
      </c>
      <c r="F240" s="35">
        <v>153</v>
      </c>
      <c r="G240" s="35">
        <f t="shared" si="19"/>
        <v>1390.9090909090908</v>
      </c>
      <c r="H240" s="35">
        <v>110</v>
      </c>
      <c r="I240" s="35">
        <v>152</v>
      </c>
      <c r="J240" s="35">
        <f t="shared" si="20"/>
        <v>1381.8181818181818</v>
      </c>
    </row>
    <row r="241" spans="1:10" s="61" customFormat="1" ht="17.100000000000001" customHeight="1" x14ac:dyDescent="0.2">
      <c r="A241" s="3" t="s">
        <v>94</v>
      </c>
      <c r="B241" s="35">
        <v>8970</v>
      </c>
      <c r="C241" s="35">
        <v>7345</v>
      </c>
      <c r="D241" s="35">
        <f t="shared" si="21"/>
        <v>818.84057971014488</v>
      </c>
      <c r="E241" s="35">
        <v>9085</v>
      </c>
      <c r="F241" s="35">
        <v>7439</v>
      </c>
      <c r="G241" s="35">
        <f t="shared" si="19"/>
        <v>818.82223445239413</v>
      </c>
      <c r="H241" s="35">
        <v>9060</v>
      </c>
      <c r="I241" s="35">
        <v>6350</v>
      </c>
      <c r="J241" s="35">
        <f t="shared" si="20"/>
        <v>700.88300220750557</v>
      </c>
    </row>
    <row r="242" spans="1:10" s="61" customFormat="1" ht="17.100000000000001" customHeight="1" x14ac:dyDescent="0.2">
      <c r="A242" s="3" t="s">
        <v>46</v>
      </c>
      <c r="B242" s="35">
        <f>42+20</f>
        <v>62</v>
      </c>
      <c r="C242" s="35">
        <f>31+15</f>
        <v>46</v>
      </c>
      <c r="D242" s="35">
        <f t="shared" si="21"/>
        <v>741.9354838709678</v>
      </c>
      <c r="E242" s="35">
        <f>330+40</f>
        <v>370</v>
      </c>
      <c r="F242" s="35">
        <f>333+39</f>
        <v>372</v>
      </c>
      <c r="G242" s="35">
        <f t="shared" si="19"/>
        <v>1005.4054054054053</v>
      </c>
      <c r="H242" s="35">
        <v>143</v>
      </c>
      <c r="I242" s="35">
        <v>135</v>
      </c>
      <c r="J242" s="35">
        <f t="shared" si="20"/>
        <v>944.05594405594411</v>
      </c>
    </row>
    <row r="243" spans="1:10" s="61" customFormat="1" ht="17.100000000000001" customHeight="1" x14ac:dyDescent="0.2">
      <c r="A243" s="3" t="s">
        <v>42</v>
      </c>
      <c r="B243" s="35">
        <v>30</v>
      </c>
      <c r="C243" s="35">
        <v>36</v>
      </c>
      <c r="D243" s="35">
        <f t="shared" si="21"/>
        <v>1200</v>
      </c>
      <c r="E243" s="35">
        <v>157</v>
      </c>
      <c r="F243" s="35">
        <v>171</v>
      </c>
      <c r="G243" s="35">
        <f t="shared" si="19"/>
        <v>1089.1719745222929</v>
      </c>
      <c r="H243" s="35">
        <v>157</v>
      </c>
      <c r="I243" s="35">
        <v>164</v>
      </c>
      <c r="J243" s="35">
        <f t="shared" si="20"/>
        <v>1044.5859872611466</v>
      </c>
    </row>
    <row r="244" spans="1:10" s="61" customFormat="1" ht="17.100000000000001" customHeight="1" x14ac:dyDescent="0.2">
      <c r="A244" s="3" t="s">
        <v>51</v>
      </c>
      <c r="B244" s="35">
        <v>196</v>
      </c>
      <c r="C244" s="35">
        <v>214</v>
      </c>
      <c r="D244" s="35">
        <f t="shared" si="21"/>
        <v>1091.8367346938776</v>
      </c>
      <c r="E244" s="35">
        <v>182</v>
      </c>
      <c r="F244" s="35">
        <v>200</v>
      </c>
      <c r="G244" s="35">
        <f t="shared" si="19"/>
        <v>1098.901098901099</v>
      </c>
      <c r="H244" s="35">
        <v>287</v>
      </c>
      <c r="I244" s="35">
        <v>269</v>
      </c>
      <c r="J244" s="35">
        <f t="shared" si="20"/>
        <v>937.28222996515672</v>
      </c>
    </row>
    <row r="245" spans="1:10" s="61" customFormat="1" ht="17.100000000000001" customHeight="1" x14ac:dyDescent="0.2">
      <c r="A245" s="3" t="s">
        <v>33</v>
      </c>
      <c r="B245" s="35">
        <v>84</v>
      </c>
      <c r="C245" s="35">
        <v>103</v>
      </c>
      <c r="D245" s="35">
        <f t="shared" si="21"/>
        <v>1226.1904761904764</v>
      </c>
      <c r="E245" s="35">
        <v>50</v>
      </c>
      <c r="F245" s="35">
        <v>60</v>
      </c>
      <c r="G245" s="35">
        <f t="shared" si="19"/>
        <v>1200</v>
      </c>
      <c r="H245" s="35">
        <v>54</v>
      </c>
      <c r="I245" s="35">
        <v>65</v>
      </c>
      <c r="J245" s="35">
        <f t="shared" si="20"/>
        <v>1203.7037037037037</v>
      </c>
    </row>
    <row r="246" spans="1:10" s="61" customFormat="1" ht="17.100000000000001" customHeight="1" x14ac:dyDescent="0.2">
      <c r="A246" s="3" t="s">
        <v>48</v>
      </c>
      <c r="B246" s="35">
        <v>1726</v>
      </c>
      <c r="C246" s="35">
        <v>2624</v>
      </c>
      <c r="D246" s="35">
        <f t="shared" si="21"/>
        <v>1520.2780996523754</v>
      </c>
      <c r="E246" s="35">
        <v>1725</v>
      </c>
      <c r="F246" s="35">
        <v>2535</v>
      </c>
      <c r="G246" s="35">
        <f t="shared" si="19"/>
        <v>1469.5652173913043</v>
      </c>
      <c r="H246" s="35">
        <v>1724</v>
      </c>
      <c r="I246" s="35">
        <v>2413</v>
      </c>
      <c r="J246" s="35">
        <f t="shared" si="20"/>
        <v>1399.6519721577727</v>
      </c>
    </row>
    <row r="247" spans="1:10" s="61" customFormat="1" ht="17.100000000000001" customHeight="1" x14ac:dyDescent="0.2">
      <c r="A247" s="3" t="s">
        <v>44</v>
      </c>
      <c r="B247" s="35">
        <v>486</v>
      </c>
      <c r="C247" s="35">
        <v>406</v>
      </c>
      <c r="D247" s="35">
        <f t="shared" si="21"/>
        <v>835.39094650205755</v>
      </c>
      <c r="E247" s="35">
        <v>780</v>
      </c>
      <c r="F247" s="35">
        <v>652</v>
      </c>
      <c r="G247" s="35">
        <f t="shared" si="19"/>
        <v>835.89743589743591</v>
      </c>
      <c r="H247" s="35">
        <v>1042</v>
      </c>
      <c r="I247" s="35">
        <v>809</v>
      </c>
      <c r="J247" s="35">
        <f t="shared" si="20"/>
        <v>776.39155470249523</v>
      </c>
    </row>
    <row r="248" spans="1:10" s="61" customFormat="1" ht="17.100000000000001" customHeight="1" x14ac:dyDescent="0.2">
      <c r="A248" s="3" t="s">
        <v>80</v>
      </c>
      <c r="B248" s="35">
        <v>1080</v>
      </c>
      <c r="C248" s="35">
        <v>1033</v>
      </c>
      <c r="D248" s="35">
        <f t="shared" si="21"/>
        <v>956.48148148148152</v>
      </c>
      <c r="E248" s="35">
        <v>1070</v>
      </c>
      <c r="F248" s="35">
        <v>1022</v>
      </c>
      <c r="G248" s="35">
        <f t="shared" si="19"/>
        <v>955.14018691588785</v>
      </c>
      <c r="H248" s="35">
        <v>1050</v>
      </c>
      <c r="I248" s="35">
        <v>1480</v>
      </c>
      <c r="J248" s="35">
        <f t="shared" si="20"/>
        <v>1409.5238095238096</v>
      </c>
    </row>
    <row r="249" spans="1:10" s="61" customFormat="1" ht="17.100000000000001" customHeight="1" x14ac:dyDescent="0.2">
      <c r="A249" s="3" t="s">
        <v>81</v>
      </c>
      <c r="B249" s="35">
        <v>760</v>
      </c>
      <c r="C249" s="35">
        <v>648</v>
      </c>
      <c r="D249" s="35">
        <f t="shared" si="21"/>
        <v>852.63157894736844</v>
      </c>
      <c r="E249" s="35">
        <v>757</v>
      </c>
      <c r="F249" s="35">
        <v>663</v>
      </c>
      <c r="G249" s="35">
        <f t="shared" si="19"/>
        <v>875.82562747688246</v>
      </c>
      <c r="H249" s="35">
        <v>745</v>
      </c>
      <c r="I249" s="35">
        <v>636</v>
      </c>
      <c r="J249" s="35">
        <f t="shared" si="20"/>
        <v>853.69127516778519</v>
      </c>
    </row>
    <row r="250" spans="1:10" s="61" customFormat="1" ht="17.100000000000001" customHeight="1" x14ac:dyDescent="0.2">
      <c r="A250" s="3" t="s">
        <v>37</v>
      </c>
      <c r="B250" s="35">
        <v>29</v>
      </c>
      <c r="C250" s="35">
        <v>39</v>
      </c>
      <c r="D250" s="35">
        <f t="shared" si="21"/>
        <v>1344.8275862068965</v>
      </c>
      <c r="E250" s="35">
        <v>53</v>
      </c>
      <c r="F250" s="35">
        <v>72</v>
      </c>
      <c r="G250" s="35">
        <f t="shared" si="19"/>
        <v>1358.4905660377358</v>
      </c>
      <c r="H250" s="35">
        <v>53</v>
      </c>
      <c r="I250" s="35">
        <v>71</v>
      </c>
      <c r="J250" s="35">
        <f t="shared" si="20"/>
        <v>1339.6226415094338</v>
      </c>
    </row>
    <row r="251" spans="1:10" s="61" customFormat="1" ht="17.100000000000001" customHeight="1" x14ac:dyDescent="0.2">
      <c r="A251" s="3" t="s">
        <v>40</v>
      </c>
      <c r="B251" s="35">
        <v>285</v>
      </c>
      <c r="C251" s="35">
        <v>216</v>
      </c>
      <c r="D251" s="35">
        <f t="shared" si="21"/>
        <v>757.89473684210532</v>
      </c>
      <c r="E251" s="35">
        <v>312</v>
      </c>
      <c r="F251" s="35">
        <v>234</v>
      </c>
      <c r="G251" s="35">
        <f t="shared" si="19"/>
        <v>750</v>
      </c>
      <c r="H251" s="35">
        <v>312</v>
      </c>
      <c r="I251" s="35">
        <v>230</v>
      </c>
      <c r="J251" s="35">
        <f t="shared" si="20"/>
        <v>737.17948717948718</v>
      </c>
    </row>
    <row r="252" spans="1:10" s="61" customFormat="1" ht="17.100000000000001" customHeight="1" x14ac:dyDescent="0.2">
      <c r="A252" s="3" t="s">
        <v>38</v>
      </c>
      <c r="B252" s="35">
        <v>82</v>
      </c>
      <c r="C252" s="35">
        <v>28</v>
      </c>
      <c r="D252" s="35">
        <f t="shared" si="21"/>
        <v>341.46341463414637</v>
      </c>
      <c r="E252" s="35">
        <v>166</v>
      </c>
      <c r="F252" s="35">
        <v>65</v>
      </c>
      <c r="G252" s="35">
        <f t="shared" si="19"/>
        <v>391.56626506024094</v>
      </c>
      <c r="H252" s="35">
        <v>127</v>
      </c>
      <c r="I252" s="35">
        <v>52</v>
      </c>
      <c r="J252" s="35">
        <f t="shared" si="20"/>
        <v>409.44881889763781</v>
      </c>
    </row>
    <row r="253" spans="1:10" s="61" customFormat="1" ht="17.100000000000001" customHeight="1" x14ac:dyDescent="0.2">
      <c r="A253" s="3" t="s">
        <v>87</v>
      </c>
      <c r="B253" s="35">
        <v>210</v>
      </c>
      <c r="C253" s="35">
        <v>162</v>
      </c>
      <c r="D253" s="35">
        <f t="shared" si="21"/>
        <v>771.42857142857144</v>
      </c>
      <c r="E253" s="35">
        <v>217</v>
      </c>
      <c r="F253" s="35">
        <v>207</v>
      </c>
      <c r="G253" s="35">
        <f t="shared" si="19"/>
        <v>953.91705069124419</v>
      </c>
      <c r="H253" s="35">
        <v>218</v>
      </c>
      <c r="I253" s="35">
        <v>201</v>
      </c>
      <c r="J253" s="35">
        <f t="shared" si="20"/>
        <v>922.01834862385329</v>
      </c>
    </row>
    <row r="254" spans="1:10" s="61" customFormat="1" ht="17.100000000000001" customHeight="1" x14ac:dyDescent="0.2">
      <c r="A254" s="3" t="s">
        <v>36</v>
      </c>
      <c r="B254" s="35">
        <f>71+25</f>
        <v>96</v>
      </c>
      <c r="C254" s="35">
        <f>60+15</f>
        <v>75</v>
      </c>
      <c r="D254" s="35">
        <f t="shared" si="21"/>
        <v>781.25</v>
      </c>
      <c r="E254" s="35">
        <f>28+113</f>
        <v>141</v>
      </c>
      <c r="F254" s="35">
        <f>95+23</f>
        <v>118</v>
      </c>
      <c r="G254" s="35">
        <f t="shared" si="19"/>
        <v>836.87943262411341</v>
      </c>
      <c r="H254" s="35">
        <v>154</v>
      </c>
      <c r="I254" s="35">
        <v>127</v>
      </c>
      <c r="J254" s="35">
        <f t="shared" si="20"/>
        <v>824.67532467532465</v>
      </c>
    </row>
    <row r="255" spans="1:10" s="61" customFormat="1" ht="17.100000000000001" customHeight="1" x14ac:dyDescent="0.2">
      <c r="A255" s="3" t="s">
        <v>43</v>
      </c>
      <c r="B255" s="35" t="s">
        <v>103</v>
      </c>
      <c r="C255" s="35" t="s">
        <v>103</v>
      </c>
      <c r="D255" s="35" t="s">
        <v>103</v>
      </c>
      <c r="E255" s="35" t="s">
        <v>103</v>
      </c>
      <c r="F255" s="35" t="s">
        <v>103</v>
      </c>
      <c r="G255" s="35" t="s">
        <v>103</v>
      </c>
      <c r="H255" s="35" t="s">
        <v>103</v>
      </c>
      <c r="I255" s="35" t="s">
        <v>103</v>
      </c>
      <c r="J255" s="35" t="s">
        <v>103</v>
      </c>
    </row>
    <row r="256" spans="1:10" s="61" customFormat="1" ht="17.100000000000001" customHeight="1" x14ac:dyDescent="0.2">
      <c r="A256" s="3" t="s">
        <v>88</v>
      </c>
      <c r="B256" s="35">
        <v>485</v>
      </c>
      <c r="C256" s="35">
        <v>115</v>
      </c>
      <c r="D256" s="35">
        <f t="shared" ref="D256:D261" si="22">C256/B256*1000</f>
        <v>237.11340206185565</v>
      </c>
      <c r="E256" s="35">
        <v>490</v>
      </c>
      <c r="F256" s="35">
        <v>125</v>
      </c>
      <c r="G256" s="35">
        <f t="shared" ref="G256:G265" si="23">F256/E256*1000</f>
        <v>255.10204081632654</v>
      </c>
      <c r="H256" s="35">
        <v>495</v>
      </c>
      <c r="I256" s="35">
        <v>181</v>
      </c>
      <c r="J256" s="35">
        <f t="shared" ref="J256:J265" si="24">I256/H256*1000</f>
        <v>365.6565656565657</v>
      </c>
    </row>
    <row r="257" spans="1:10" s="61" customFormat="1" ht="17.100000000000001" customHeight="1" x14ac:dyDescent="0.2">
      <c r="A257" s="3" t="s">
        <v>47</v>
      </c>
      <c r="B257" s="35">
        <v>340</v>
      </c>
      <c r="C257" s="35">
        <v>251</v>
      </c>
      <c r="D257" s="35">
        <f t="shared" si="22"/>
        <v>738.23529411764707</v>
      </c>
      <c r="E257" s="35">
        <v>570</v>
      </c>
      <c r="F257" s="35">
        <v>624</v>
      </c>
      <c r="G257" s="35">
        <f t="shared" si="23"/>
        <v>1094.7368421052631</v>
      </c>
      <c r="H257" s="35">
        <v>582</v>
      </c>
      <c r="I257" s="35">
        <v>587</v>
      </c>
      <c r="J257" s="35">
        <f t="shared" si="24"/>
        <v>1008.5910652920962</v>
      </c>
    </row>
    <row r="258" spans="1:10" s="61" customFormat="1" ht="17.100000000000001" customHeight="1" x14ac:dyDescent="0.2">
      <c r="A258" s="3" t="s">
        <v>52</v>
      </c>
      <c r="B258" s="35">
        <v>430</v>
      </c>
      <c r="C258" s="35">
        <v>293</v>
      </c>
      <c r="D258" s="35">
        <f t="shared" si="22"/>
        <v>681.39534883720933</v>
      </c>
      <c r="E258" s="35">
        <v>425</v>
      </c>
      <c r="F258" s="35">
        <v>293</v>
      </c>
      <c r="G258" s="35">
        <f t="shared" si="23"/>
        <v>689.41176470588243</v>
      </c>
      <c r="H258" s="35">
        <v>405</v>
      </c>
      <c r="I258" s="35">
        <v>277</v>
      </c>
      <c r="J258" s="35">
        <f t="shared" si="24"/>
        <v>683.95061728395058</v>
      </c>
    </row>
    <row r="259" spans="1:10" s="61" customFormat="1" ht="17.100000000000001" customHeight="1" x14ac:dyDescent="0.2">
      <c r="A259" s="3" t="s">
        <v>41</v>
      </c>
      <c r="B259" s="35">
        <v>236</v>
      </c>
      <c r="C259" s="35">
        <v>262</v>
      </c>
      <c r="D259" s="35">
        <f t="shared" si="22"/>
        <v>1110.1694915254236</v>
      </c>
      <c r="E259" s="35">
        <v>236</v>
      </c>
      <c r="F259" s="35">
        <v>262</v>
      </c>
      <c r="G259" s="35">
        <f t="shared" si="23"/>
        <v>1110.1694915254236</v>
      </c>
      <c r="H259" s="35">
        <v>236</v>
      </c>
      <c r="I259" s="35">
        <v>255</v>
      </c>
      <c r="J259" s="35">
        <f t="shared" si="24"/>
        <v>1080.5084745762713</v>
      </c>
    </row>
    <row r="260" spans="1:10" s="61" customFormat="1" ht="17.100000000000001" customHeight="1" x14ac:dyDescent="0.2">
      <c r="A260" s="3" t="s">
        <v>34</v>
      </c>
      <c r="B260" s="35">
        <v>1103</v>
      </c>
      <c r="C260" s="35">
        <v>927</v>
      </c>
      <c r="D260" s="35">
        <f t="shared" si="22"/>
        <v>840.43517679057106</v>
      </c>
      <c r="E260" s="35">
        <v>977</v>
      </c>
      <c r="F260" s="35">
        <v>848</v>
      </c>
      <c r="G260" s="35">
        <f t="shared" si="23"/>
        <v>867.96315250767657</v>
      </c>
      <c r="H260" s="35">
        <v>956</v>
      </c>
      <c r="I260" s="35">
        <v>836</v>
      </c>
      <c r="J260" s="35">
        <f t="shared" si="24"/>
        <v>874.47698744769878</v>
      </c>
    </row>
    <row r="261" spans="1:10" s="61" customFormat="1" ht="17.100000000000001" customHeight="1" x14ac:dyDescent="0.2">
      <c r="A261" s="3" t="s">
        <v>89</v>
      </c>
      <c r="B261" s="35">
        <v>600</v>
      </c>
      <c r="C261" s="35">
        <v>387</v>
      </c>
      <c r="D261" s="35">
        <f t="shared" si="22"/>
        <v>645</v>
      </c>
      <c r="E261" s="35">
        <v>550</v>
      </c>
      <c r="F261" s="35">
        <v>370</v>
      </c>
      <c r="G261" s="35">
        <f t="shared" si="23"/>
        <v>672.72727272727275</v>
      </c>
      <c r="H261" s="35">
        <v>554</v>
      </c>
      <c r="I261" s="35">
        <v>374</v>
      </c>
      <c r="J261" s="35">
        <f t="shared" si="24"/>
        <v>675.09025270758127</v>
      </c>
    </row>
    <row r="262" spans="1:10" s="61" customFormat="1" ht="17.100000000000001" customHeight="1" x14ac:dyDescent="0.2">
      <c r="A262" s="3" t="s">
        <v>91</v>
      </c>
      <c r="B262" s="35" t="s">
        <v>103</v>
      </c>
      <c r="C262" s="35" t="s">
        <v>103</v>
      </c>
      <c r="D262" s="35" t="s">
        <v>103</v>
      </c>
      <c r="E262" s="35">
        <v>112</v>
      </c>
      <c r="F262" s="35">
        <v>111</v>
      </c>
      <c r="G262" s="35">
        <f t="shared" si="23"/>
        <v>991.07142857142856</v>
      </c>
      <c r="H262" s="35">
        <v>113</v>
      </c>
      <c r="I262" s="35">
        <v>109</v>
      </c>
      <c r="J262" s="35">
        <f t="shared" si="24"/>
        <v>964.60176991150433</v>
      </c>
    </row>
    <row r="263" spans="1:10" s="61" customFormat="1" ht="17.100000000000001" customHeight="1" x14ac:dyDescent="0.2">
      <c r="A263" s="3" t="s">
        <v>32</v>
      </c>
      <c r="B263" s="35">
        <v>380</v>
      </c>
      <c r="C263" s="35">
        <v>569</v>
      </c>
      <c r="D263" s="35">
        <f>C263/B263*1000</f>
        <v>1497.3684210526317</v>
      </c>
      <c r="E263" s="35">
        <v>449</v>
      </c>
      <c r="F263" s="35">
        <v>701</v>
      </c>
      <c r="G263" s="35">
        <f t="shared" si="23"/>
        <v>1561.2472160356347</v>
      </c>
      <c r="H263" s="35">
        <v>434</v>
      </c>
      <c r="I263" s="35">
        <v>687</v>
      </c>
      <c r="J263" s="35">
        <f t="shared" si="24"/>
        <v>1582.9493087557605</v>
      </c>
    </row>
    <row r="264" spans="1:10" s="61" customFormat="1" ht="17.100000000000001" customHeight="1" x14ac:dyDescent="0.2">
      <c r="A264" s="3" t="s">
        <v>90</v>
      </c>
      <c r="B264" s="35">
        <v>13</v>
      </c>
      <c r="C264" s="35">
        <v>11</v>
      </c>
      <c r="D264" s="35">
        <f>C264/B264*1000</f>
        <v>846.15384615384619</v>
      </c>
      <c r="E264" s="35">
        <v>16</v>
      </c>
      <c r="F264" s="35">
        <v>14</v>
      </c>
      <c r="G264" s="35">
        <f t="shared" si="23"/>
        <v>875</v>
      </c>
      <c r="H264" s="35">
        <v>17</v>
      </c>
      <c r="I264" s="35">
        <v>15</v>
      </c>
      <c r="J264" s="35">
        <f t="shared" si="24"/>
        <v>882.35294117647061</v>
      </c>
    </row>
    <row r="265" spans="1:10" s="61" customFormat="1" ht="17.100000000000001" customHeight="1" x14ac:dyDescent="0.2">
      <c r="A265" s="3" t="s">
        <v>31</v>
      </c>
      <c r="B265" s="35">
        <f>70+50</f>
        <v>120</v>
      </c>
      <c r="C265" s="35">
        <f>76+40</f>
        <v>116</v>
      </c>
      <c r="D265" s="35">
        <f>C265/B265*1000</f>
        <v>966.66666666666663</v>
      </c>
      <c r="E265" s="35">
        <f>65+80</f>
        <v>145</v>
      </c>
      <c r="F265" s="35">
        <f>70+97</f>
        <v>167</v>
      </c>
      <c r="G265" s="35">
        <f t="shared" si="23"/>
        <v>1151.7241379310346</v>
      </c>
      <c r="H265" s="35">
        <v>143</v>
      </c>
      <c r="I265" s="35">
        <v>157</v>
      </c>
      <c r="J265" s="35">
        <f t="shared" si="24"/>
        <v>1097.9020979020979</v>
      </c>
    </row>
    <row r="266" spans="1:10" s="61" customFormat="1" ht="17.100000000000001" customHeight="1" x14ac:dyDescent="0.2">
      <c r="A266" s="3" t="s">
        <v>92</v>
      </c>
      <c r="B266" s="35" t="s">
        <v>103</v>
      </c>
      <c r="C266" s="35" t="s">
        <v>103</v>
      </c>
      <c r="D266" s="35" t="s">
        <v>103</v>
      </c>
      <c r="E266" s="35" t="s">
        <v>103</v>
      </c>
      <c r="F266" s="35" t="s">
        <v>103</v>
      </c>
      <c r="G266" s="35" t="s">
        <v>103</v>
      </c>
      <c r="H266" s="35" t="s">
        <v>103</v>
      </c>
      <c r="I266" s="35" t="s">
        <v>103</v>
      </c>
      <c r="J266" s="35" t="s">
        <v>103</v>
      </c>
    </row>
    <row r="267" spans="1:10" s="61" customFormat="1" ht="17.100000000000001" customHeight="1" x14ac:dyDescent="0.2">
      <c r="A267" s="3" t="s">
        <v>50</v>
      </c>
      <c r="B267" s="35">
        <v>385</v>
      </c>
      <c r="C267" s="35">
        <v>570</v>
      </c>
      <c r="D267" s="35">
        <f>C267/B267*1000</f>
        <v>1480.5194805194806</v>
      </c>
      <c r="E267" s="35">
        <v>206</v>
      </c>
      <c r="F267" s="35">
        <v>285</v>
      </c>
      <c r="G267" s="35">
        <f>F267/E267*1000</f>
        <v>1383.495145631068</v>
      </c>
      <c r="H267" s="35">
        <v>210</v>
      </c>
      <c r="I267" s="35">
        <v>222</v>
      </c>
      <c r="J267" s="35">
        <f>I267/H267*1000</f>
        <v>1057.1428571428571</v>
      </c>
    </row>
    <row r="268" spans="1:10" s="61" customFormat="1" ht="17.100000000000001" customHeight="1" x14ac:dyDescent="0.2">
      <c r="A268" s="3" t="s">
        <v>35</v>
      </c>
      <c r="B268" s="35">
        <v>780</v>
      </c>
      <c r="C268" s="35">
        <v>972</v>
      </c>
      <c r="D268" s="35">
        <f>C268/B268*1000</f>
        <v>1246.1538461538462</v>
      </c>
      <c r="E268" s="35">
        <v>973</v>
      </c>
      <c r="F268" s="35">
        <v>1209</v>
      </c>
      <c r="G268" s="35">
        <f>F268/E268*1000</f>
        <v>1242.5488180883863</v>
      </c>
      <c r="H268" s="35">
        <v>973</v>
      </c>
      <c r="I268" s="35">
        <v>1126</v>
      </c>
      <c r="J268" s="35">
        <f>I268/H268*1000</f>
        <v>1157.2456320657759</v>
      </c>
    </row>
    <row r="269" spans="1:10" s="61" customFormat="1" ht="17.100000000000001" customHeight="1" x14ac:dyDescent="0.2">
      <c r="A269" s="3" t="s">
        <v>49</v>
      </c>
      <c r="B269" s="35">
        <v>110</v>
      </c>
      <c r="C269" s="35">
        <v>153</v>
      </c>
      <c r="D269" s="35">
        <f>C269/B269*1000</f>
        <v>1390.9090909090908</v>
      </c>
      <c r="E269" s="35">
        <v>711</v>
      </c>
      <c r="F269" s="35">
        <v>1020</v>
      </c>
      <c r="G269" s="35">
        <f>F269/E269*1000</f>
        <v>1434.5991561181436</v>
      </c>
      <c r="H269" s="35">
        <v>399</v>
      </c>
      <c r="I269" s="35">
        <v>385</v>
      </c>
      <c r="J269" s="35">
        <f>I269/H269*1000</f>
        <v>964.91228070175441</v>
      </c>
    </row>
    <row r="270" spans="1:10" s="61" customFormat="1" ht="17.100000000000001" customHeight="1" x14ac:dyDescent="0.2">
      <c r="A270" s="3" t="s">
        <v>45</v>
      </c>
      <c r="B270" s="35">
        <v>66</v>
      </c>
      <c r="C270" s="35">
        <v>61</v>
      </c>
      <c r="D270" s="35">
        <f>C270/B270*1000</f>
        <v>924.24242424242425</v>
      </c>
      <c r="E270" s="35">
        <v>81</v>
      </c>
      <c r="F270" s="35">
        <v>77</v>
      </c>
      <c r="G270" s="35">
        <f>F270/E270*1000</f>
        <v>950.61728395061732</v>
      </c>
      <c r="H270" s="35">
        <v>233</v>
      </c>
      <c r="I270" s="35">
        <v>204</v>
      </c>
      <c r="J270" s="35">
        <f>I270/H270*1000</f>
        <v>875.53648068669531</v>
      </c>
    </row>
    <row r="271" spans="1:10" s="61" customFormat="1" ht="17.100000000000001" customHeight="1" x14ac:dyDescent="0.2">
      <c r="A271" s="3" t="s">
        <v>79</v>
      </c>
      <c r="B271" s="35" t="s">
        <v>103</v>
      </c>
      <c r="C271" s="35" t="s">
        <v>103</v>
      </c>
      <c r="D271" s="35" t="s">
        <v>103</v>
      </c>
      <c r="E271" s="35" t="s">
        <v>103</v>
      </c>
      <c r="F271" s="35" t="s">
        <v>103</v>
      </c>
      <c r="G271" s="35" t="s">
        <v>103</v>
      </c>
      <c r="H271" s="35" t="s">
        <v>103</v>
      </c>
      <c r="I271" s="35" t="s">
        <v>103</v>
      </c>
      <c r="J271" s="35" t="s">
        <v>103</v>
      </c>
    </row>
    <row r="272" spans="1:10" ht="9" customHeight="1" x14ac:dyDescent="0.2"/>
    <row r="273" spans="1:10" s="8" customFormat="1" ht="12" x14ac:dyDescent="0.2">
      <c r="J273" s="53" t="s">
        <v>99</v>
      </c>
    </row>
    <row r="274" spans="1:10" ht="60" customHeight="1" x14ac:dyDescent="0.2">
      <c r="A274" s="73" t="s">
        <v>76</v>
      </c>
      <c r="B274" s="73"/>
      <c r="C274" s="73"/>
      <c r="D274" s="73"/>
      <c r="E274" s="73"/>
      <c r="F274" s="73"/>
      <c r="G274" s="73"/>
      <c r="H274" s="73"/>
      <c r="I274" s="73"/>
      <c r="J274" s="73"/>
    </row>
    <row r="275" spans="1:10" s="8" customFormat="1" ht="12.75" customHeight="1" x14ac:dyDescent="0.2">
      <c r="A275" s="8" t="s">
        <v>60</v>
      </c>
      <c r="B275" s="15"/>
      <c r="C275" s="15"/>
      <c r="D275" s="15"/>
      <c r="E275" s="15"/>
      <c r="F275" s="15"/>
      <c r="I275" s="15"/>
      <c r="J275" s="15"/>
    </row>
    <row r="276" spans="1:10" ht="20.100000000000001" customHeight="1" x14ac:dyDescent="0.2">
      <c r="A276" s="75" t="s">
        <v>30</v>
      </c>
      <c r="B276" s="75" t="s">
        <v>86</v>
      </c>
      <c r="C276" s="75"/>
      <c r="D276" s="75"/>
      <c r="E276" s="75" t="s">
        <v>95</v>
      </c>
      <c r="F276" s="75"/>
      <c r="G276" s="75"/>
      <c r="H276" s="75" t="s">
        <v>102</v>
      </c>
      <c r="I276" s="75"/>
      <c r="J276" s="75"/>
    </row>
    <row r="277" spans="1:10" ht="39.950000000000003" customHeight="1" x14ac:dyDescent="0.2">
      <c r="A277" s="75"/>
      <c r="B277" s="63" t="s">
        <v>98</v>
      </c>
      <c r="C277" s="63" t="s">
        <v>96</v>
      </c>
      <c r="D277" s="63" t="s">
        <v>97</v>
      </c>
      <c r="E277" s="63" t="s">
        <v>98</v>
      </c>
      <c r="F277" s="63" t="s">
        <v>96</v>
      </c>
      <c r="G277" s="63" t="s">
        <v>97</v>
      </c>
      <c r="H277" s="63" t="s">
        <v>98</v>
      </c>
      <c r="I277" s="63" t="s">
        <v>96</v>
      </c>
      <c r="J277" s="63" t="s">
        <v>97</v>
      </c>
    </row>
    <row r="278" spans="1:10" ht="25.5" customHeight="1" x14ac:dyDescent="0.2">
      <c r="A278" s="6" t="s">
        <v>68</v>
      </c>
      <c r="B278" s="34">
        <f t="shared" ref="B278:C278" si="25">SUM(B279:B310)</f>
        <v>25454.22</v>
      </c>
      <c r="C278" s="34">
        <f t="shared" si="25"/>
        <v>71105</v>
      </c>
      <c r="D278" s="34">
        <f>C278/B278*1000</f>
        <v>2793.4464304936469</v>
      </c>
      <c r="E278" s="34">
        <f t="shared" ref="E278:F278" si="26">SUM(E279:E310)</f>
        <v>24867</v>
      </c>
      <c r="F278" s="34">
        <f t="shared" si="26"/>
        <v>68011</v>
      </c>
      <c r="G278" s="34">
        <f>F278/E278*1000</f>
        <v>2734.990147585153</v>
      </c>
      <c r="H278" s="34">
        <f>SUM(H279:H310)</f>
        <v>28089</v>
      </c>
      <c r="I278" s="34">
        <f>SUM(I279:I310)</f>
        <v>71377</v>
      </c>
      <c r="J278" s="34">
        <f>I278/H278*1000</f>
        <v>2541.1014988073625</v>
      </c>
    </row>
    <row r="279" spans="1:10" s="61" customFormat="1" ht="17.100000000000001" customHeight="1" x14ac:dyDescent="0.2">
      <c r="A279" s="3" t="s">
        <v>39</v>
      </c>
      <c r="B279" s="35" t="s">
        <v>103</v>
      </c>
      <c r="C279" s="35" t="s">
        <v>103</v>
      </c>
      <c r="D279" s="35" t="s">
        <v>103</v>
      </c>
      <c r="E279" s="35" t="s">
        <v>103</v>
      </c>
      <c r="F279" s="35" t="s">
        <v>103</v>
      </c>
      <c r="G279" s="35" t="s">
        <v>103</v>
      </c>
      <c r="H279" s="35" t="s">
        <v>103</v>
      </c>
      <c r="I279" s="35" t="s">
        <v>103</v>
      </c>
      <c r="J279" s="35" t="s">
        <v>103</v>
      </c>
    </row>
    <row r="280" spans="1:10" s="61" customFormat="1" ht="17.100000000000001" customHeight="1" x14ac:dyDescent="0.2">
      <c r="A280" s="3" t="s">
        <v>94</v>
      </c>
      <c r="B280" s="35" t="s">
        <v>103</v>
      </c>
      <c r="C280" s="35" t="s">
        <v>103</v>
      </c>
      <c r="D280" s="35" t="s">
        <v>103</v>
      </c>
      <c r="E280" s="35" t="s">
        <v>103</v>
      </c>
      <c r="F280" s="35" t="s">
        <v>103</v>
      </c>
      <c r="G280" s="35" t="s">
        <v>103</v>
      </c>
      <c r="H280" s="35" t="s">
        <v>103</v>
      </c>
      <c r="I280" s="35" t="s">
        <v>103</v>
      </c>
      <c r="J280" s="35" t="s">
        <v>103</v>
      </c>
    </row>
    <row r="281" spans="1:10" s="61" customFormat="1" ht="17.100000000000001" customHeight="1" x14ac:dyDescent="0.2">
      <c r="A281" s="3" t="s">
        <v>46</v>
      </c>
      <c r="B281" s="35" t="s">
        <v>103</v>
      </c>
      <c r="C281" s="35" t="s">
        <v>103</v>
      </c>
      <c r="D281" s="35" t="s">
        <v>103</v>
      </c>
      <c r="E281" s="35" t="s">
        <v>103</v>
      </c>
      <c r="F281" s="35" t="s">
        <v>103</v>
      </c>
      <c r="G281" s="35" t="s">
        <v>103</v>
      </c>
      <c r="H281" s="35" t="s">
        <v>103</v>
      </c>
      <c r="I281" s="35" t="s">
        <v>103</v>
      </c>
      <c r="J281" s="35" t="s">
        <v>103</v>
      </c>
    </row>
    <row r="282" spans="1:10" s="61" customFormat="1" ht="17.100000000000001" customHeight="1" x14ac:dyDescent="0.2">
      <c r="A282" s="3" t="s">
        <v>42</v>
      </c>
      <c r="B282" s="35" t="s">
        <v>103</v>
      </c>
      <c r="C282" s="35" t="s">
        <v>103</v>
      </c>
      <c r="D282" s="35" t="s">
        <v>103</v>
      </c>
      <c r="E282" s="35" t="s">
        <v>103</v>
      </c>
      <c r="F282" s="35" t="s">
        <v>103</v>
      </c>
      <c r="G282" s="35" t="s">
        <v>103</v>
      </c>
      <c r="H282" s="35" t="s">
        <v>103</v>
      </c>
      <c r="I282" s="35" t="s">
        <v>103</v>
      </c>
      <c r="J282" s="35" t="s">
        <v>103</v>
      </c>
    </row>
    <row r="283" spans="1:10" s="61" customFormat="1" ht="17.100000000000001" customHeight="1" x14ac:dyDescent="0.2">
      <c r="A283" s="3" t="s">
        <v>51</v>
      </c>
      <c r="B283" s="35">
        <v>2465</v>
      </c>
      <c r="C283" s="35">
        <v>5400</v>
      </c>
      <c r="D283" s="35">
        <f>C283/B283*1000</f>
        <v>2190.6693711967546</v>
      </c>
      <c r="E283" s="35">
        <v>2278</v>
      </c>
      <c r="F283" s="35">
        <v>4982</v>
      </c>
      <c r="G283" s="35">
        <f>F283/E283*1000</f>
        <v>2187.0061457418788</v>
      </c>
      <c r="H283" s="35">
        <v>2150</v>
      </c>
      <c r="I283" s="35">
        <v>4200</v>
      </c>
      <c r="J283" s="35">
        <f>I283/H283*1000</f>
        <v>1953.4883720930231</v>
      </c>
    </row>
    <row r="284" spans="1:10" s="61" customFormat="1" ht="17.100000000000001" customHeight="1" x14ac:dyDescent="0.2">
      <c r="A284" s="3" t="s">
        <v>33</v>
      </c>
      <c r="B284" s="35">
        <v>2316</v>
      </c>
      <c r="C284" s="35">
        <v>6780</v>
      </c>
      <c r="D284" s="35">
        <f>C284/B284*1000</f>
        <v>2927.4611398963734</v>
      </c>
      <c r="E284" s="35">
        <v>2664</v>
      </c>
      <c r="F284" s="35">
        <v>7633</v>
      </c>
      <c r="G284" s="35">
        <f>F284/E284*1000</f>
        <v>2865.2402402402404</v>
      </c>
      <c r="H284" s="35">
        <v>2810</v>
      </c>
      <c r="I284" s="35">
        <v>7420</v>
      </c>
      <c r="J284" s="35">
        <f>I284/H284*1000</f>
        <v>2640.5693950177938</v>
      </c>
    </row>
    <row r="285" spans="1:10" s="61" customFormat="1" ht="17.100000000000001" customHeight="1" x14ac:dyDescent="0.2">
      <c r="A285" s="3" t="s">
        <v>48</v>
      </c>
      <c r="B285" s="35" t="s">
        <v>103</v>
      </c>
      <c r="C285" s="35" t="s">
        <v>103</v>
      </c>
      <c r="D285" s="35" t="s">
        <v>103</v>
      </c>
      <c r="E285" s="35" t="s">
        <v>103</v>
      </c>
      <c r="F285" s="35" t="s">
        <v>103</v>
      </c>
      <c r="G285" s="35" t="s">
        <v>103</v>
      </c>
      <c r="H285" s="35" t="s">
        <v>103</v>
      </c>
      <c r="I285" s="35" t="s">
        <v>103</v>
      </c>
      <c r="J285" s="35" t="s">
        <v>103</v>
      </c>
    </row>
    <row r="286" spans="1:10" s="61" customFormat="1" ht="17.100000000000001" customHeight="1" x14ac:dyDescent="0.2">
      <c r="A286" s="3" t="s">
        <v>44</v>
      </c>
      <c r="B286" s="35" t="s">
        <v>103</v>
      </c>
      <c r="C286" s="35" t="s">
        <v>103</v>
      </c>
      <c r="D286" s="35" t="s">
        <v>103</v>
      </c>
      <c r="E286" s="35" t="s">
        <v>103</v>
      </c>
      <c r="F286" s="35" t="s">
        <v>103</v>
      </c>
      <c r="G286" s="35" t="s">
        <v>103</v>
      </c>
      <c r="H286" s="35" t="s">
        <v>103</v>
      </c>
      <c r="I286" s="35" t="s">
        <v>103</v>
      </c>
      <c r="J286" s="35" t="s">
        <v>103</v>
      </c>
    </row>
    <row r="287" spans="1:10" s="61" customFormat="1" ht="17.100000000000001" customHeight="1" x14ac:dyDescent="0.2">
      <c r="A287" s="3" t="s">
        <v>80</v>
      </c>
      <c r="B287" s="35">
        <v>8.89</v>
      </c>
      <c r="C287" s="35">
        <v>16</v>
      </c>
      <c r="D287" s="35">
        <f>C287/B287*1000</f>
        <v>1799.7750281214846</v>
      </c>
      <c r="E287" s="35">
        <v>16</v>
      </c>
      <c r="F287" s="35">
        <v>30</v>
      </c>
      <c r="G287" s="35">
        <f>F287/E287*1000</f>
        <v>1875</v>
      </c>
      <c r="H287" s="35">
        <v>15</v>
      </c>
      <c r="I287" s="35">
        <v>28</v>
      </c>
      <c r="J287" s="35">
        <f>I287/H287*1000</f>
        <v>1866.6666666666667</v>
      </c>
    </row>
    <row r="288" spans="1:10" s="61" customFormat="1" ht="17.100000000000001" customHeight="1" x14ac:dyDescent="0.2">
      <c r="A288" s="3" t="s">
        <v>81</v>
      </c>
      <c r="B288" s="35" t="s">
        <v>103</v>
      </c>
      <c r="C288" s="35" t="s">
        <v>103</v>
      </c>
      <c r="D288" s="35" t="s">
        <v>103</v>
      </c>
      <c r="E288" s="35" t="s">
        <v>103</v>
      </c>
      <c r="F288" s="35" t="s">
        <v>103</v>
      </c>
      <c r="G288" s="35" t="s">
        <v>103</v>
      </c>
      <c r="H288" s="35" t="s">
        <v>103</v>
      </c>
      <c r="I288" s="35" t="s">
        <v>103</v>
      </c>
      <c r="J288" s="35" t="s">
        <v>103</v>
      </c>
    </row>
    <row r="289" spans="1:10" s="61" customFormat="1" ht="17.100000000000001" customHeight="1" x14ac:dyDescent="0.2">
      <c r="A289" s="3" t="s">
        <v>37</v>
      </c>
      <c r="B289" s="35" t="s">
        <v>103</v>
      </c>
      <c r="C289" s="35" t="s">
        <v>103</v>
      </c>
      <c r="D289" s="35" t="s">
        <v>103</v>
      </c>
      <c r="E289" s="35" t="s">
        <v>103</v>
      </c>
      <c r="F289" s="35" t="s">
        <v>103</v>
      </c>
      <c r="G289" s="35" t="s">
        <v>103</v>
      </c>
      <c r="H289" s="35" t="s">
        <v>103</v>
      </c>
      <c r="I289" s="35" t="s">
        <v>103</v>
      </c>
      <c r="J289" s="35" t="s">
        <v>103</v>
      </c>
    </row>
    <row r="290" spans="1:10" s="61" customFormat="1" ht="17.100000000000001" customHeight="1" x14ac:dyDescent="0.2">
      <c r="A290" s="3" t="s">
        <v>40</v>
      </c>
      <c r="B290" s="35" t="s">
        <v>103</v>
      </c>
      <c r="C290" s="35" t="s">
        <v>103</v>
      </c>
      <c r="D290" s="35" t="s">
        <v>103</v>
      </c>
      <c r="E290" s="35" t="s">
        <v>103</v>
      </c>
      <c r="F290" s="35" t="s">
        <v>103</v>
      </c>
      <c r="G290" s="35" t="s">
        <v>103</v>
      </c>
      <c r="H290" s="35" t="s">
        <v>103</v>
      </c>
      <c r="I290" s="35" t="s">
        <v>103</v>
      </c>
      <c r="J290" s="35" t="s">
        <v>103</v>
      </c>
    </row>
    <row r="291" spans="1:10" s="61" customFormat="1" ht="17.100000000000001" customHeight="1" x14ac:dyDescent="0.2">
      <c r="A291" s="3" t="s">
        <v>38</v>
      </c>
      <c r="B291" s="35" t="s">
        <v>103</v>
      </c>
      <c r="C291" s="35" t="s">
        <v>103</v>
      </c>
      <c r="D291" s="35" t="s">
        <v>103</v>
      </c>
      <c r="E291" s="35" t="s">
        <v>103</v>
      </c>
      <c r="F291" s="35" t="s">
        <v>103</v>
      </c>
      <c r="G291" s="35" t="s">
        <v>103</v>
      </c>
      <c r="H291" s="35" t="s">
        <v>103</v>
      </c>
      <c r="I291" s="35" t="s">
        <v>103</v>
      </c>
      <c r="J291" s="35" t="s">
        <v>103</v>
      </c>
    </row>
    <row r="292" spans="1:10" s="61" customFormat="1" ht="17.100000000000001" customHeight="1" x14ac:dyDescent="0.2">
      <c r="A292" s="3" t="s">
        <v>87</v>
      </c>
      <c r="B292" s="35" t="s">
        <v>103</v>
      </c>
      <c r="C292" s="35" t="s">
        <v>103</v>
      </c>
      <c r="D292" s="35" t="s">
        <v>103</v>
      </c>
      <c r="E292" s="35" t="s">
        <v>103</v>
      </c>
      <c r="F292" s="35" t="s">
        <v>103</v>
      </c>
      <c r="G292" s="35" t="s">
        <v>103</v>
      </c>
      <c r="H292" s="35" t="s">
        <v>103</v>
      </c>
      <c r="I292" s="35" t="s">
        <v>103</v>
      </c>
      <c r="J292" s="35" t="s">
        <v>103</v>
      </c>
    </row>
    <row r="293" spans="1:10" s="61" customFormat="1" ht="17.100000000000001" customHeight="1" x14ac:dyDescent="0.2">
      <c r="A293" s="3" t="s">
        <v>36</v>
      </c>
      <c r="B293" s="35" t="s">
        <v>103</v>
      </c>
      <c r="C293" s="35" t="s">
        <v>103</v>
      </c>
      <c r="D293" s="35" t="s">
        <v>103</v>
      </c>
      <c r="E293" s="35" t="s">
        <v>103</v>
      </c>
      <c r="F293" s="35" t="s">
        <v>103</v>
      </c>
      <c r="G293" s="35" t="s">
        <v>103</v>
      </c>
      <c r="H293" s="35" t="s">
        <v>103</v>
      </c>
      <c r="I293" s="35" t="s">
        <v>103</v>
      </c>
      <c r="J293" s="35" t="s">
        <v>103</v>
      </c>
    </row>
    <row r="294" spans="1:10" s="61" customFormat="1" ht="17.100000000000001" customHeight="1" x14ac:dyDescent="0.2">
      <c r="A294" s="3" t="s">
        <v>43</v>
      </c>
      <c r="B294" s="35" t="s">
        <v>103</v>
      </c>
      <c r="C294" s="35" t="s">
        <v>103</v>
      </c>
      <c r="D294" s="35" t="s">
        <v>103</v>
      </c>
      <c r="E294" s="35" t="s">
        <v>103</v>
      </c>
      <c r="F294" s="35" t="s">
        <v>103</v>
      </c>
      <c r="G294" s="35" t="s">
        <v>103</v>
      </c>
      <c r="H294" s="35" t="s">
        <v>103</v>
      </c>
      <c r="I294" s="35" t="s">
        <v>103</v>
      </c>
      <c r="J294" s="35" t="s">
        <v>103</v>
      </c>
    </row>
    <row r="295" spans="1:10" s="61" customFormat="1" ht="17.100000000000001" customHeight="1" x14ac:dyDescent="0.2">
      <c r="A295" s="3" t="s">
        <v>88</v>
      </c>
      <c r="B295" s="35" t="s">
        <v>103</v>
      </c>
      <c r="C295" s="35" t="s">
        <v>103</v>
      </c>
      <c r="D295" s="35" t="s">
        <v>103</v>
      </c>
      <c r="E295" s="35" t="s">
        <v>103</v>
      </c>
      <c r="F295" s="35" t="s">
        <v>103</v>
      </c>
      <c r="G295" s="35" t="s">
        <v>103</v>
      </c>
      <c r="H295" s="35" t="s">
        <v>103</v>
      </c>
      <c r="I295" s="35" t="s">
        <v>103</v>
      </c>
      <c r="J295" s="35" t="s">
        <v>103</v>
      </c>
    </row>
    <row r="296" spans="1:10" s="61" customFormat="1" ht="17.100000000000001" customHeight="1" x14ac:dyDescent="0.2">
      <c r="A296" s="3" t="s">
        <v>47</v>
      </c>
      <c r="B296" s="35" t="s">
        <v>103</v>
      </c>
      <c r="C296" s="35" t="s">
        <v>103</v>
      </c>
      <c r="D296" s="35" t="s">
        <v>103</v>
      </c>
      <c r="E296" s="35" t="s">
        <v>103</v>
      </c>
      <c r="F296" s="35" t="s">
        <v>103</v>
      </c>
      <c r="G296" s="35" t="s">
        <v>103</v>
      </c>
      <c r="H296" s="35" t="s">
        <v>103</v>
      </c>
      <c r="I296" s="35" t="s">
        <v>103</v>
      </c>
      <c r="J296" s="35" t="s">
        <v>103</v>
      </c>
    </row>
    <row r="297" spans="1:10" s="61" customFormat="1" ht="17.100000000000001" customHeight="1" x14ac:dyDescent="0.2">
      <c r="A297" s="3" t="s">
        <v>52</v>
      </c>
      <c r="B297" s="35">
        <v>624</v>
      </c>
      <c r="C297" s="35">
        <v>1900</v>
      </c>
      <c r="D297" s="35">
        <f>C297/B297*1000</f>
        <v>3044.8717948717949</v>
      </c>
      <c r="E297" s="35">
        <v>728</v>
      </c>
      <c r="F297" s="35">
        <v>2116</v>
      </c>
      <c r="G297" s="35">
        <f>F297/E297*1000</f>
        <v>2906.5934065934066</v>
      </c>
      <c r="H297" s="35">
        <v>1200</v>
      </c>
      <c r="I297" s="35">
        <v>3480</v>
      </c>
      <c r="J297" s="35">
        <f>I297/H297*1000</f>
        <v>2900</v>
      </c>
    </row>
    <row r="298" spans="1:10" s="61" customFormat="1" ht="17.100000000000001" customHeight="1" x14ac:dyDescent="0.2">
      <c r="A298" s="3" t="s">
        <v>41</v>
      </c>
      <c r="B298" s="35">
        <v>2213</v>
      </c>
      <c r="C298" s="35">
        <v>4400</v>
      </c>
      <c r="D298" s="35">
        <f>C298/B298*1000</f>
        <v>1988.2512426570268</v>
      </c>
      <c r="E298" s="35">
        <v>1604</v>
      </c>
      <c r="F298" s="35">
        <v>3492</v>
      </c>
      <c r="G298" s="35">
        <f>F298/E298*1000</f>
        <v>2177.0573566084786</v>
      </c>
      <c r="H298" s="35">
        <v>1450</v>
      </c>
      <c r="I298" s="35">
        <v>3400</v>
      </c>
      <c r="J298" s="35">
        <f>I298/H298*1000</f>
        <v>2344.8275862068963</v>
      </c>
    </row>
    <row r="299" spans="1:10" s="61" customFormat="1" ht="17.100000000000001" customHeight="1" x14ac:dyDescent="0.2">
      <c r="A299" s="3" t="s">
        <v>34</v>
      </c>
      <c r="B299" s="35">
        <v>4017</v>
      </c>
      <c r="C299" s="35">
        <v>11900</v>
      </c>
      <c r="D299" s="35">
        <f>C299/B299*1000</f>
        <v>2962.4097585262634</v>
      </c>
      <c r="E299" s="35">
        <v>4652</v>
      </c>
      <c r="F299" s="35">
        <v>12781</v>
      </c>
      <c r="G299" s="35">
        <f>F299/E299*1000</f>
        <v>2747.420464316423</v>
      </c>
      <c r="H299" s="35">
        <v>6569</v>
      </c>
      <c r="I299" s="35">
        <v>16693</v>
      </c>
      <c r="J299" s="35">
        <f>I299/H299*1000</f>
        <v>2541.1782615314355</v>
      </c>
    </row>
    <row r="300" spans="1:10" s="61" customFormat="1" ht="17.100000000000001" customHeight="1" x14ac:dyDescent="0.2">
      <c r="A300" s="3" t="s">
        <v>89</v>
      </c>
      <c r="B300" s="35" t="s">
        <v>103</v>
      </c>
      <c r="C300" s="35" t="s">
        <v>103</v>
      </c>
      <c r="D300" s="35" t="s">
        <v>103</v>
      </c>
      <c r="E300" s="35" t="s">
        <v>103</v>
      </c>
      <c r="F300" s="35" t="s">
        <v>103</v>
      </c>
      <c r="G300" s="35" t="s">
        <v>103</v>
      </c>
      <c r="H300" s="35" t="s">
        <v>103</v>
      </c>
      <c r="I300" s="35" t="s">
        <v>103</v>
      </c>
      <c r="J300" s="35" t="s">
        <v>103</v>
      </c>
    </row>
    <row r="301" spans="1:10" s="61" customFormat="1" ht="17.100000000000001" customHeight="1" x14ac:dyDescent="0.2">
      <c r="A301" s="3" t="s">
        <v>91</v>
      </c>
      <c r="B301" s="35" t="s">
        <v>103</v>
      </c>
      <c r="C301" s="35" t="s">
        <v>103</v>
      </c>
      <c r="D301" s="35" t="s">
        <v>103</v>
      </c>
      <c r="E301" s="35" t="s">
        <v>103</v>
      </c>
      <c r="F301" s="35" t="s">
        <v>103</v>
      </c>
      <c r="G301" s="35" t="s">
        <v>103</v>
      </c>
      <c r="H301" s="35" t="s">
        <v>103</v>
      </c>
      <c r="I301" s="35" t="s">
        <v>103</v>
      </c>
      <c r="J301" s="35" t="s">
        <v>103</v>
      </c>
    </row>
    <row r="302" spans="1:10" s="61" customFormat="1" ht="17.100000000000001" customHeight="1" x14ac:dyDescent="0.2">
      <c r="A302" s="3" t="s">
        <v>32</v>
      </c>
      <c r="B302" s="35">
        <v>706</v>
      </c>
      <c r="C302" s="35">
        <v>2100</v>
      </c>
      <c r="D302" s="35">
        <f>C302/B302*1000</f>
        <v>2974.5042492917846</v>
      </c>
      <c r="E302" s="35">
        <v>582</v>
      </c>
      <c r="F302" s="35">
        <v>1734</v>
      </c>
      <c r="G302" s="35">
        <f>F302/E302*1000</f>
        <v>2979.3814432989693</v>
      </c>
      <c r="H302" s="35">
        <v>681</v>
      </c>
      <c r="I302" s="35">
        <v>2026</v>
      </c>
      <c r="J302" s="35">
        <f>I302/H302*1000</f>
        <v>2975.0367107195302</v>
      </c>
    </row>
    <row r="303" spans="1:10" s="61" customFormat="1" ht="17.100000000000001" customHeight="1" x14ac:dyDescent="0.2">
      <c r="A303" s="3" t="s">
        <v>90</v>
      </c>
      <c r="B303" s="35" t="s">
        <v>103</v>
      </c>
      <c r="C303" s="35" t="s">
        <v>103</v>
      </c>
      <c r="D303" s="35" t="s">
        <v>103</v>
      </c>
      <c r="E303" s="35" t="s">
        <v>103</v>
      </c>
      <c r="F303" s="35" t="s">
        <v>103</v>
      </c>
      <c r="G303" s="35" t="s">
        <v>103</v>
      </c>
      <c r="H303" s="35" t="s">
        <v>103</v>
      </c>
      <c r="I303" s="35" t="s">
        <v>103</v>
      </c>
      <c r="J303" s="35" t="s">
        <v>103</v>
      </c>
    </row>
    <row r="304" spans="1:10" s="62" customFormat="1" ht="17.100000000000001" customHeight="1" x14ac:dyDescent="0.2">
      <c r="A304" s="3" t="s">
        <v>31</v>
      </c>
      <c r="B304" s="35" t="s">
        <v>103</v>
      </c>
      <c r="C304" s="35" t="s">
        <v>103</v>
      </c>
      <c r="D304" s="35" t="s">
        <v>103</v>
      </c>
      <c r="E304" s="35" t="s">
        <v>103</v>
      </c>
      <c r="F304" s="35" t="s">
        <v>103</v>
      </c>
      <c r="G304" s="35" t="s">
        <v>103</v>
      </c>
      <c r="H304" s="35" t="s">
        <v>103</v>
      </c>
      <c r="I304" s="35" t="s">
        <v>103</v>
      </c>
      <c r="J304" s="35" t="s">
        <v>103</v>
      </c>
    </row>
    <row r="305" spans="1:10" s="62" customFormat="1" ht="17.100000000000001" customHeight="1" x14ac:dyDescent="0.2">
      <c r="A305" s="3" t="s">
        <v>92</v>
      </c>
      <c r="B305" s="35" t="s">
        <v>103</v>
      </c>
      <c r="C305" s="35" t="s">
        <v>103</v>
      </c>
      <c r="D305" s="35" t="s">
        <v>103</v>
      </c>
      <c r="E305" s="35" t="s">
        <v>103</v>
      </c>
      <c r="F305" s="35" t="s">
        <v>103</v>
      </c>
      <c r="G305" s="35" t="s">
        <v>103</v>
      </c>
      <c r="H305" s="35" t="s">
        <v>103</v>
      </c>
      <c r="I305" s="35" t="s">
        <v>103</v>
      </c>
      <c r="J305" s="35" t="s">
        <v>103</v>
      </c>
    </row>
    <row r="306" spans="1:10" s="62" customFormat="1" ht="17.100000000000001" customHeight="1" x14ac:dyDescent="0.2">
      <c r="A306" s="3" t="s">
        <v>50</v>
      </c>
      <c r="B306" s="35" t="s">
        <v>103</v>
      </c>
      <c r="C306" s="35" t="s">
        <v>103</v>
      </c>
      <c r="D306" s="35" t="s">
        <v>103</v>
      </c>
      <c r="E306" s="35" t="s">
        <v>103</v>
      </c>
      <c r="F306" s="35" t="s">
        <v>103</v>
      </c>
      <c r="G306" s="35" t="s">
        <v>103</v>
      </c>
      <c r="H306" s="35" t="s">
        <v>103</v>
      </c>
      <c r="I306" s="35" t="s">
        <v>103</v>
      </c>
      <c r="J306" s="35" t="s">
        <v>103</v>
      </c>
    </row>
    <row r="307" spans="1:10" s="62" customFormat="1" ht="17.100000000000001" customHeight="1" x14ac:dyDescent="0.2">
      <c r="A307" s="3" t="s">
        <v>35</v>
      </c>
      <c r="B307" s="35">
        <v>13066</v>
      </c>
      <c r="C307" s="35">
        <v>38540</v>
      </c>
      <c r="D307" s="35">
        <f>C307/B307*1000</f>
        <v>2949.6402877697842</v>
      </c>
      <c r="E307" s="35">
        <v>12303</v>
      </c>
      <c r="F307" s="35">
        <v>35183</v>
      </c>
      <c r="G307" s="35">
        <f>F307/E307*1000</f>
        <v>2859.709014061611</v>
      </c>
      <c r="H307" s="35">
        <v>13179</v>
      </c>
      <c r="I307" s="35">
        <v>34080</v>
      </c>
      <c r="J307" s="35">
        <f>I307/H307*1000</f>
        <v>2585.9321648076484</v>
      </c>
    </row>
    <row r="308" spans="1:10" s="62" customFormat="1" ht="17.100000000000001" customHeight="1" x14ac:dyDescent="0.2">
      <c r="A308" s="3" t="s">
        <v>49</v>
      </c>
      <c r="B308" s="35">
        <v>38.33</v>
      </c>
      <c r="C308" s="35">
        <v>69</v>
      </c>
      <c r="D308" s="35" t="s">
        <v>103</v>
      </c>
      <c r="E308" s="35">
        <v>40</v>
      </c>
      <c r="F308" s="35">
        <v>60</v>
      </c>
      <c r="G308" s="35">
        <f>F308/E308*1000</f>
        <v>1500</v>
      </c>
      <c r="H308" s="35">
        <v>35</v>
      </c>
      <c r="I308" s="35">
        <v>50</v>
      </c>
      <c r="J308" s="35">
        <f>I308/H308*1000</f>
        <v>1428.5714285714287</v>
      </c>
    </row>
    <row r="309" spans="1:10" s="62" customFormat="1" ht="17.100000000000001" customHeight="1" x14ac:dyDescent="0.2">
      <c r="A309" s="3" t="s">
        <v>45</v>
      </c>
      <c r="B309" s="35" t="s">
        <v>103</v>
      </c>
      <c r="C309" s="35" t="s">
        <v>103</v>
      </c>
      <c r="D309" s="35" t="s">
        <v>103</v>
      </c>
      <c r="E309" s="35" t="s">
        <v>103</v>
      </c>
      <c r="F309" s="35" t="s">
        <v>103</v>
      </c>
      <c r="G309" s="35" t="s">
        <v>103</v>
      </c>
      <c r="H309" s="35" t="s">
        <v>103</v>
      </c>
      <c r="I309" s="35" t="s">
        <v>103</v>
      </c>
      <c r="J309" s="35" t="s">
        <v>103</v>
      </c>
    </row>
    <row r="310" spans="1:10" s="62" customFormat="1" ht="17.100000000000001" customHeight="1" x14ac:dyDescent="0.2">
      <c r="A310" s="3" t="s">
        <v>79</v>
      </c>
      <c r="B310" s="35" t="s">
        <v>103</v>
      </c>
      <c r="C310" s="35" t="s">
        <v>103</v>
      </c>
      <c r="D310" s="35" t="s">
        <v>103</v>
      </c>
      <c r="E310" s="35" t="s">
        <v>103</v>
      </c>
      <c r="F310" s="35" t="s">
        <v>103</v>
      </c>
      <c r="G310" s="35" t="s">
        <v>103</v>
      </c>
      <c r="H310" s="35" t="s">
        <v>103</v>
      </c>
      <c r="I310" s="35" t="s">
        <v>103</v>
      </c>
      <c r="J310" s="35" t="s">
        <v>103</v>
      </c>
    </row>
    <row r="311" spans="1:10" s="8" customFormat="1" ht="12.75" customHeight="1" x14ac:dyDescent="0.2">
      <c r="A311" s="22"/>
      <c r="B311" s="22"/>
      <c r="C311" s="22"/>
      <c r="D311" s="22"/>
      <c r="E311" s="22"/>
      <c r="F311" s="22"/>
      <c r="G311" s="22"/>
      <c r="H311" s="37"/>
      <c r="I311" s="37"/>
      <c r="J311" s="53" t="s">
        <v>99</v>
      </c>
    </row>
    <row r="312" spans="1:10" ht="60" customHeight="1" x14ac:dyDescent="0.2">
      <c r="A312" s="73" t="s">
        <v>77</v>
      </c>
      <c r="B312" s="73"/>
      <c r="C312" s="73"/>
      <c r="D312" s="73"/>
      <c r="E312" s="73"/>
      <c r="F312" s="73"/>
      <c r="G312" s="73"/>
      <c r="H312" s="73"/>
      <c r="I312" s="73"/>
      <c r="J312" s="73"/>
    </row>
    <row r="313" spans="1:10" s="8" customFormat="1" ht="12.75" customHeight="1" x14ac:dyDescent="0.2">
      <c r="A313" s="8" t="s">
        <v>61</v>
      </c>
      <c r="B313" s="15"/>
      <c r="C313" s="15"/>
      <c r="D313" s="15"/>
      <c r="E313" s="15"/>
      <c r="F313" s="15"/>
      <c r="I313" s="15"/>
      <c r="J313" s="15"/>
    </row>
    <row r="314" spans="1:10" ht="20.100000000000001" customHeight="1" x14ac:dyDescent="0.2">
      <c r="A314" s="72" t="s">
        <v>30</v>
      </c>
      <c r="B314" s="72" t="s">
        <v>86</v>
      </c>
      <c r="C314" s="72"/>
      <c r="D314" s="72"/>
      <c r="E314" s="72" t="s">
        <v>95</v>
      </c>
      <c r="F314" s="72"/>
      <c r="G314" s="72"/>
      <c r="H314" s="72" t="s">
        <v>102</v>
      </c>
      <c r="I314" s="72"/>
      <c r="J314" s="72"/>
    </row>
    <row r="315" spans="1:10" ht="39.950000000000003" customHeight="1" x14ac:dyDescent="0.2">
      <c r="A315" s="72"/>
      <c r="B315" s="63" t="s">
        <v>98</v>
      </c>
      <c r="C315" s="63" t="s">
        <v>96</v>
      </c>
      <c r="D315" s="63" t="s">
        <v>97</v>
      </c>
      <c r="E315" s="63" t="s">
        <v>98</v>
      </c>
      <c r="F315" s="63" t="s">
        <v>96</v>
      </c>
      <c r="G315" s="63" t="s">
        <v>97</v>
      </c>
      <c r="H315" s="63" t="s">
        <v>98</v>
      </c>
      <c r="I315" s="63" t="s">
        <v>96</v>
      </c>
      <c r="J315" s="63" t="s">
        <v>97</v>
      </c>
    </row>
    <row r="316" spans="1:10" ht="25.5" customHeight="1" x14ac:dyDescent="0.2">
      <c r="A316" s="6" t="s">
        <v>68</v>
      </c>
      <c r="B316" s="32">
        <f>SUM(B317:B348)</f>
        <v>148534</v>
      </c>
      <c r="C316" s="32">
        <f>SUM(C317:C348)</f>
        <v>7609972</v>
      </c>
      <c r="D316" s="32">
        <f>C316/B316*1000</f>
        <v>51233.872379387882</v>
      </c>
      <c r="E316" s="32">
        <f>SUM(E317:E348)</f>
        <v>110991</v>
      </c>
      <c r="F316" s="32">
        <f>SUM(F317:F348)</f>
        <v>5532012</v>
      </c>
      <c r="G316" s="32">
        <f>F316/E316*1000</f>
        <v>49841.987188150393</v>
      </c>
      <c r="H316" s="32">
        <f>SUM(H317:H348)</f>
        <v>109359</v>
      </c>
      <c r="I316" s="32">
        <f>SUM(I317:I348)</f>
        <v>5753975</v>
      </c>
      <c r="J316" s="32">
        <f>I316/H316*1000</f>
        <v>52615.468319937085</v>
      </c>
    </row>
    <row r="317" spans="1:10" ht="17.100000000000001" customHeight="1" x14ac:dyDescent="0.2">
      <c r="A317" s="3" t="s">
        <v>39</v>
      </c>
      <c r="B317" s="33" t="s">
        <v>103</v>
      </c>
      <c r="C317" s="33" t="s">
        <v>103</v>
      </c>
      <c r="D317" s="33" t="s">
        <v>103</v>
      </c>
      <c r="E317" s="33" t="s">
        <v>103</v>
      </c>
      <c r="F317" s="33" t="s">
        <v>103</v>
      </c>
      <c r="G317" s="33" t="s">
        <v>103</v>
      </c>
      <c r="H317" s="33" t="s">
        <v>103</v>
      </c>
      <c r="I317" s="33" t="s">
        <v>103</v>
      </c>
      <c r="J317" s="33" t="s">
        <v>103</v>
      </c>
    </row>
    <row r="318" spans="1:10" ht="17.100000000000001" customHeight="1" x14ac:dyDescent="0.2">
      <c r="A318" s="3" t="s">
        <v>94</v>
      </c>
      <c r="B318" s="33" t="s">
        <v>103</v>
      </c>
      <c r="C318" s="33" t="s">
        <v>103</v>
      </c>
      <c r="D318" s="33" t="s">
        <v>103</v>
      </c>
      <c r="E318" s="33" t="s">
        <v>103</v>
      </c>
      <c r="F318" s="33" t="s">
        <v>103</v>
      </c>
      <c r="G318" s="33" t="s">
        <v>103</v>
      </c>
      <c r="H318" s="33" t="s">
        <v>103</v>
      </c>
      <c r="I318" s="33" t="s">
        <v>103</v>
      </c>
      <c r="J318" s="33" t="s">
        <v>103</v>
      </c>
    </row>
    <row r="319" spans="1:10" ht="17.100000000000001" customHeight="1" x14ac:dyDescent="0.2">
      <c r="A319" s="3" t="s">
        <v>46</v>
      </c>
      <c r="B319" s="33">
        <f>428+43</f>
        <v>471</v>
      </c>
      <c r="C319" s="33">
        <f>17010+170</f>
        <v>17180</v>
      </c>
      <c r="D319" s="33">
        <f>C319/B319*1000</f>
        <v>36475.583864118897</v>
      </c>
      <c r="E319" s="33">
        <f>538+50</f>
        <v>588</v>
      </c>
      <c r="F319" s="33">
        <f>24900+430</f>
        <v>25330</v>
      </c>
      <c r="G319" s="33">
        <f>F319/E319*1000</f>
        <v>43078.231292517012</v>
      </c>
      <c r="H319" s="33">
        <v>527</v>
      </c>
      <c r="I319" s="33">
        <v>22478</v>
      </c>
      <c r="J319" s="33">
        <f>I319/H319*1000</f>
        <v>42652.751423149908</v>
      </c>
    </row>
    <row r="320" spans="1:10" ht="17.100000000000001" customHeight="1" x14ac:dyDescent="0.2">
      <c r="A320" s="3" t="s">
        <v>42</v>
      </c>
      <c r="B320" s="33" t="s">
        <v>103</v>
      </c>
      <c r="C320" s="33" t="s">
        <v>103</v>
      </c>
      <c r="D320" s="33" t="s">
        <v>103</v>
      </c>
      <c r="E320" s="33" t="s">
        <v>103</v>
      </c>
      <c r="F320" s="33" t="s">
        <v>103</v>
      </c>
      <c r="G320" s="33" t="s">
        <v>103</v>
      </c>
      <c r="H320" s="33" t="s">
        <v>103</v>
      </c>
      <c r="I320" s="33" t="s">
        <v>103</v>
      </c>
      <c r="J320" s="33" t="s">
        <v>103</v>
      </c>
    </row>
    <row r="321" spans="1:10" ht="17.100000000000001" customHeight="1" x14ac:dyDescent="0.2">
      <c r="A321" s="3" t="s">
        <v>51</v>
      </c>
      <c r="B321" s="33">
        <v>81</v>
      </c>
      <c r="C321" s="33">
        <v>2120</v>
      </c>
      <c r="D321" s="33">
        <f>C321/B321*1000</f>
        <v>26172.839506172837</v>
      </c>
      <c r="E321" s="33">
        <v>81</v>
      </c>
      <c r="F321" s="33">
        <v>3021</v>
      </c>
      <c r="G321" s="33">
        <f>F321/E321*1000</f>
        <v>37296.296296296299</v>
      </c>
      <c r="H321" s="33">
        <v>42</v>
      </c>
      <c r="I321" s="33">
        <v>1375</v>
      </c>
      <c r="J321" s="33">
        <f>I321/H321*1000</f>
        <v>32738.09523809524</v>
      </c>
    </row>
    <row r="322" spans="1:10" ht="17.100000000000001" customHeight="1" x14ac:dyDescent="0.2">
      <c r="A322" s="3" t="s">
        <v>33</v>
      </c>
      <c r="B322" s="33">
        <v>32197</v>
      </c>
      <c r="C322" s="33">
        <v>1399844</v>
      </c>
      <c r="D322" s="33">
        <f>C322/B322*1000</f>
        <v>43477.466844737086</v>
      </c>
      <c r="E322" s="33">
        <v>30161</v>
      </c>
      <c r="F322" s="33">
        <v>1528915</v>
      </c>
      <c r="G322" s="33">
        <f>F322/E322*1000</f>
        <v>50691.78740757933</v>
      </c>
      <c r="H322" s="33">
        <v>29655</v>
      </c>
      <c r="I322" s="33">
        <v>1735064</v>
      </c>
      <c r="J322" s="33">
        <f>I322/H322*1000</f>
        <v>58508.312257629404</v>
      </c>
    </row>
    <row r="323" spans="1:10" ht="17.100000000000001" customHeight="1" x14ac:dyDescent="0.2">
      <c r="A323" s="3" t="s">
        <v>48</v>
      </c>
      <c r="B323" s="33" t="s">
        <v>103</v>
      </c>
      <c r="C323" s="33" t="s">
        <v>103</v>
      </c>
      <c r="D323" s="33" t="s">
        <v>103</v>
      </c>
      <c r="E323" s="33" t="s">
        <v>103</v>
      </c>
      <c r="F323" s="33" t="s">
        <v>103</v>
      </c>
      <c r="G323" s="33" t="s">
        <v>103</v>
      </c>
      <c r="H323" s="33" t="s">
        <v>103</v>
      </c>
      <c r="I323" s="33" t="s">
        <v>103</v>
      </c>
      <c r="J323" s="33" t="s">
        <v>103</v>
      </c>
    </row>
    <row r="324" spans="1:10" ht="17.100000000000001" customHeight="1" x14ac:dyDescent="0.2">
      <c r="A324" s="3" t="s">
        <v>44</v>
      </c>
      <c r="B324" s="33">
        <f>63081+93</f>
        <v>63174</v>
      </c>
      <c r="C324" s="33">
        <f>3910392+367</f>
        <v>3910759</v>
      </c>
      <c r="D324" s="33">
        <f>C324/B324*1000</f>
        <v>61904.565169215181</v>
      </c>
      <c r="E324" s="33">
        <f>26690+103</f>
        <v>26793</v>
      </c>
      <c r="F324" s="33">
        <f>855+1601400</f>
        <v>1602255</v>
      </c>
      <c r="G324" s="33">
        <f>F324/E324*1000</f>
        <v>59801.254058895975</v>
      </c>
      <c r="H324" s="33">
        <v>25328</v>
      </c>
      <c r="I324" s="33">
        <v>1603385</v>
      </c>
      <c r="J324" s="33">
        <f>I324/H324*1000</f>
        <v>63304.840492735319</v>
      </c>
    </row>
    <row r="325" spans="1:10" ht="17.100000000000001" customHeight="1" x14ac:dyDescent="0.2">
      <c r="A325" s="3" t="s">
        <v>80</v>
      </c>
      <c r="B325" s="33">
        <v>44</v>
      </c>
      <c r="C325" s="33">
        <v>1380</v>
      </c>
      <c r="D325" s="33">
        <f>C325/B325*1000</f>
        <v>31363.636363636364</v>
      </c>
      <c r="E325" s="33" t="s">
        <v>103</v>
      </c>
      <c r="F325" s="33" t="s">
        <v>103</v>
      </c>
      <c r="G325" s="33" t="s">
        <v>103</v>
      </c>
      <c r="H325" s="33" t="s">
        <v>103</v>
      </c>
      <c r="I325" s="33" t="s">
        <v>103</v>
      </c>
      <c r="J325" s="33" t="s">
        <v>103</v>
      </c>
    </row>
    <row r="326" spans="1:10" ht="17.100000000000001" customHeight="1" x14ac:dyDescent="0.2">
      <c r="A326" s="3" t="s">
        <v>81</v>
      </c>
      <c r="B326" s="33" t="s">
        <v>103</v>
      </c>
      <c r="C326" s="33" t="s">
        <v>103</v>
      </c>
      <c r="D326" s="33" t="s">
        <v>103</v>
      </c>
      <c r="E326" s="33" t="s">
        <v>103</v>
      </c>
      <c r="F326" s="33" t="s">
        <v>103</v>
      </c>
      <c r="G326" s="33" t="s">
        <v>103</v>
      </c>
      <c r="H326" s="33" t="s">
        <v>103</v>
      </c>
      <c r="I326" s="33" t="s">
        <v>103</v>
      </c>
      <c r="J326" s="33" t="s">
        <v>103</v>
      </c>
    </row>
    <row r="327" spans="1:10" ht="17.100000000000001" customHeight="1" x14ac:dyDescent="0.2">
      <c r="A327" s="3" t="s">
        <v>37</v>
      </c>
      <c r="B327" s="33" t="s">
        <v>103</v>
      </c>
      <c r="C327" s="33" t="s">
        <v>103</v>
      </c>
      <c r="D327" s="33" t="s">
        <v>103</v>
      </c>
      <c r="E327" s="33">
        <v>23</v>
      </c>
      <c r="F327" s="33">
        <v>805</v>
      </c>
      <c r="G327" s="33">
        <f>F327/E327*1000</f>
        <v>35000</v>
      </c>
      <c r="H327" s="33">
        <v>10</v>
      </c>
      <c r="I327" s="33">
        <v>350</v>
      </c>
      <c r="J327" s="33">
        <f>I327/H327*1000</f>
        <v>35000</v>
      </c>
    </row>
    <row r="328" spans="1:10" ht="17.100000000000001" customHeight="1" x14ac:dyDescent="0.2">
      <c r="A328" s="3" t="s">
        <v>40</v>
      </c>
      <c r="B328" s="33">
        <v>99</v>
      </c>
      <c r="C328" s="33">
        <v>3117</v>
      </c>
      <c r="D328" s="33">
        <f>C328/B328*1000</f>
        <v>31484.848484848484</v>
      </c>
      <c r="E328" s="33">
        <v>51</v>
      </c>
      <c r="F328" s="33">
        <v>1606</v>
      </c>
      <c r="G328" s="33">
        <f>F328/E328*1000</f>
        <v>31490.196078431371</v>
      </c>
      <c r="H328" s="33">
        <v>50</v>
      </c>
      <c r="I328" s="33">
        <v>1574</v>
      </c>
      <c r="J328" s="33">
        <f>I328/H328*1000</f>
        <v>31480</v>
      </c>
    </row>
    <row r="329" spans="1:10" ht="17.100000000000001" customHeight="1" x14ac:dyDescent="0.2">
      <c r="A329" s="3" t="s">
        <v>38</v>
      </c>
      <c r="B329" s="33" t="s">
        <v>103</v>
      </c>
      <c r="C329" s="33" t="s">
        <v>103</v>
      </c>
      <c r="D329" s="33" t="s">
        <v>103</v>
      </c>
      <c r="E329" s="33" t="s">
        <v>103</v>
      </c>
      <c r="F329" s="33" t="s">
        <v>103</v>
      </c>
      <c r="G329" s="33" t="s">
        <v>103</v>
      </c>
      <c r="H329" s="33" t="s">
        <v>103</v>
      </c>
      <c r="I329" s="33" t="s">
        <v>103</v>
      </c>
      <c r="J329" s="33" t="s">
        <v>103</v>
      </c>
    </row>
    <row r="330" spans="1:10" ht="17.100000000000001" customHeight="1" x14ac:dyDescent="0.2">
      <c r="A330" s="3" t="s">
        <v>87</v>
      </c>
      <c r="B330" s="33">
        <v>710</v>
      </c>
      <c r="C330" s="33">
        <v>16405</v>
      </c>
      <c r="D330" s="33">
        <f>C330/B330*1000</f>
        <v>23105.633802816901</v>
      </c>
      <c r="E330" s="33">
        <v>690</v>
      </c>
      <c r="F330" s="33">
        <v>15940</v>
      </c>
      <c r="G330" s="33">
        <f>F330/E330*1000</f>
        <v>23101.44927536232</v>
      </c>
      <c r="H330" s="33">
        <v>685</v>
      </c>
      <c r="I330" s="33">
        <v>15824</v>
      </c>
      <c r="J330" s="33">
        <f>I330/H330*1000</f>
        <v>23100.729927007302</v>
      </c>
    </row>
    <row r="331" spans="1:10" ht="17.100000000000001" customHeight="1" x14ac:dyDescent="0.2">
      <c r="A331" s="3" t="s">
        <v>36</v>
      </c>
      <c r="B331" s="33">
        <v>139</v>
      </c>
      <c r="C331" s="33">
        <v>4840</v>
      </c>
      <c r="D331" s="33">
        <f>C331/B331*1000</f>
        <v>34820.143884892081</v>
      </c>
      <c r="E331" s="33">
        <v>20</v>
      </c>
      <c r="F331" s="33">
        <v>696</v>
      </c>
      <c r="G331" s="33">
        <f>F331/E331*1000</f>
        <v>34800</v>
      </c>
      <c r="H331" s="33">
        <v>44</v>
      </c>
      <c r="I331" s="33">
        <v>1532</v>
      </c>
      <c r="J331" s="33">
        <f>I331/H331*1000</f>
        <v>34818.181818181823</v>
      </c>
    </row>
    <row r="332" spans="1:10" ht="17.100000000000001" customHeight="1" x14ac:dyDescent="0.2">
      <c r="A332" s="3" t="s">
        <v>43</v>
      </c>
      <c r="B332" s="33" t="s">
        <v>103</v>
      </c>
      <c r="C332" s="33" t="s">
        <v>103</v>
      </c>
      <c r="D332" s="33" t="s">
        <v>103</v>
      </c>
      <c r="E332" s="33" t="s">
        <v>103</v>
      </c>
      <c r="F332" s="33" t="s">
        <v>103</v>
      </c>
      <c r="G332" s="33" t="s">
        <v>103</v>
      </c>
      <c r="H332" s="33" t="s">
        <v>103</v>
      </c>
      <c r="I332" s="33" t="s">
        <v>103</v>
      </c>
      <c r="J332" s="33" t="s">
        <v>103</v>
      </c>
    </row>
    <row r="333" spans="1:10" ht="17.100000000000001" customHeight="1" x14ac:dyDescent="0.2">
      <c r="A333" s="3" t="s">
        <v>88</v>
      </c>
      <c r="B333" s="33" t="s">
        <v>103</v>
      </c>
      <c r="C333" s="33" t="s">
        <v>103</v>
      </c>
      <c r="D333" s="33" t="s">
        <v>103</v>
      </c>
      <c r="E333" s="33" t="s">
        <v>103</v>
      </c>
      <c r="F333" s="33" t="s">
        <v>103</v>
      </c>
      <c r="G333" s="33" t="s">
        <v>103</v>
      </c>
      <c r="H333" s="33" t="s">
        <v>103</v>
      </c>
      <c r="I333" s="33" t="s">
        <v>103</v>
      </c>
      <c r="J333" s="33" t="s">
        <v>103</v>
      </c>
    </row>
    <row r="334" spans="1:10" ht="17.100000000000001" customHeight="1" x14ac:dyDescent="0.2">
      <c r="A334" s="3" t="s">
        <v>47</v>
      </c>
      <c r="B334" s="33">
        <v>63</v>
      </c>
      <c r="C334" s="33">
        <v>2320</v>
      </c>
      <c r="D334" s="33">
        <f>C334/B334*1000</f>
        <v>36825.39682539682</v>
      </c>
      <c r="E334" s="33">
        <v>1</v>
      </c>
      <c r="F334" s="33">
        <v>39</v>
      </c>
      <c r="G334" s="33">
        <f>F334/E334*1000</f>
        <v>39000</v>
      </c>
      <c r="H334" s="33">
        <v>2</v>
      </c>
      <c r="I334" s="33">
        <v>70</v>
      </c>
      <c r="J334" s="33">
        <f>I334/H334*1000</f>
        <v>35000</v>
      </c>
    </row>
    <row r="335" spans="1:10" ht="17.100000000000001" customHeight="1" x14ac:dyDescent="0.2">
      <c r="A335" s="3" t="s">
        <v>52</v>
      </c>
      <c r="B335" s="33">
        <v>4880</v>
      </c>
      <c r="C335" s="33">
        <v>186272</v>
      </c>
      <c r="D335" s="33">
        <f>C335/B335*1000</f>
        <v>38170.491803278688</v>
      </c>
      <c r="E335" s="33">
        <v>4840</v>
      </c>
      <c r="F335" s="33">
        <v>189350</v>
      </c>
      <c r="G335" s="33">
        <f>F335/E335*1000</f>
        <v>39121.900826446275</v>
      </c>
      <c r="H335" s="33">
        <v>4860</v>
      </c>
      <c r="I335" s="33">
        <v>192408</v>
      </c>
      <c r="J335" s="33">
        <f>I335/H335*1000</f>
        <v>39590.123456790127</v>
      </c>
    </row>
    <row r="336" spans="1:10" ht="17.100000000000001" customHeight="1" x14ac:dyDescent="0.2">
      <c r="A336" s="3" t="s">
        <v>41</v>
      </c>
      <c r="B336" s="33">
        <v>7</v>
      </c>
      <c r="C336" s="33">
        <v>171</v>
      </c>
      <c r="D336" s="33">
        <f>C336/B336*1000</f>
        <v>24428.571428571428</v>
      </c>
      <c r="E336" s="33">
        <v>8</v>
      </c>
      <c r="F336" s="33">
        <v>192</v>
      </c>
      <c r="G336" s="33">
        <f>F336/E336*1000</f>
        <v>24000</v>
      </c>
      <c r="H336" s="33" t="s">
        <v>103</v>
      </c>
      <c r="I336" s="33" t="s">
        <v>103</v>
      </c>
      <c r="J336" s="33" t="s">
        <v>103</v>
      </c>
    </row>
    <row r="337" spans="1:10" ht="17.100000000000001" customHeight="1" x14ac:dyDescent="0.2">
      <c r="A337" s="3" t="s">
        <v>34</v>
      </c>
      <c r="B337" s="33">
        <v>30389</v>
      </c>
      <c r="C337" s="33">
        <v>1290874</v>
      </c>
      <c r="D337" s="33">
        <f>C337/B337*1000</f>
        <v>42478.330975023862</v>
      </c>
      <c r="E337" s="33">
        <v>29381</v>
      </c>
      <c r="F337" s="33">
        <v>1266027</v>
      </c>
      <c r="G337" s="33">
        <f>F337/E337*1000</f>
        <v>43089.990129675643</v>
      </c>
      <c r="H337" s="33">
        <v>30172</v>
      </c>
      <c r="I337" s="33">
        <v>1298603</v>
      </c>
      <c r="J337" s="33">
        <f>I337/H337*1000</f>
        <v>43040.003977197404</v>
      </c>
    </row>
    <row r="338" spans="1:10" ht="17.100000000000001" customHeight="1" x14ac:dyDescent="0.2">
      <c r="A338" s="3" t="s">
        <v>89</v>
      </c>
      <c r="B338" s="33">
        <v>200</v>
      </c>
      <c r="C338" s="33">
        <v>6531</v>
      </c>
      <c r="D338" s="33">
        <f>C338/B338*1000</f>
        <v>32655</v>
      </c>
      <c r="E338" s="33">
        <v>150</v>
      </c>
      <c r="F338" s="33">
        <v>4900</v>
      </c>
      <c r="G338" s="33">
        <f>F338/E338*1000</f>
        <v>32666.666666666664</v>
      </c>
      <c r="H338" s="33">
        <v>147</v>
      </c>
      <c r="I338" s="33">
        <v>4802</v>
      </c>
      <c r="J338" s="33">
        <f>I338/H338*1000</f>
        <v>32666.666666666664</v>
      </c>
    </row>
    <row r="339" spans="1:10" ht="17.100000000000001" customHeight="1" x14ac:dyDescent="0.2">
      <c r="A339" s="3" t="s">
        <v>91</v>
      </c>
      <c r="B339" s="33" t="s">
        <v>103</v>
      </c>
      <c r="C339" s="33" t="s">
        <v>103</v>
      </c>
      <c r="D339" s="33" t="s">
        <v>103</v>
      </c>
      <c r="E339" s="33" t="s">
        <v>103</v>
      </c>
      <c r="F339" s="33" t="s">
        <v>103</v>
      </c>
      <c r="G339" s="33" t="s">
        <v>103</v>
      </c>
      <c r="H339" s="33" t="s">
        <v>103</v>
      </c>
      <c r="I339" s="33" t="s">
        <v>103</v>
      </c>
      <c r="J339" s="33" t="s">
        <v>103</v>
      </c>
    </row>
    <row r="340" spans="1:10" ht="17.100000000000001" customHeight="1" x14ac:dyDescent="0.2">
      <c r="A340" s="3" t="s">
        <v>32</v>
      </c>
      <c r="B340" s="33">
        <v>2040</v>
      </c>
      <c r="C340" s="33">
        <v>103582</v>
      </c>
      <c r="D340" s="33">
        <f>C340/B340*1000</f>
        <v>50775.490196078426</v>
      </c>
      <c r="E340" s="33">
        <v>3868</v>
      </c>
      <c r="F340" s="33">
        <v>197901</v>
      </c>
      <c r="G340" s="33">
        <f>F340/E340*1000</f>
        <v>51163.650465356775</v>
      </c>
      <c r="H340" s="33">
        <v>4417</v>
      </c>
      <c r="I340" s="33">
        <v>225285</v>
      </c>
      <c r="J340" s="33">
        <f>I340/H340*1000</f>
        <v>51004.075164138558</v>
      </c>
    </row>
    <row r="341" spans="1:10" ht="17.100000000000001" customHeight="1" x14ac:dyDescent="0.2">
      <c r="A341" s="3" t="s">
        <v>90</v>
      </c>
      <c r="B341" s="33" t="s">
        <v>103</v>
      </c>
      <c r="C341" s="33" t="s">
        <v>103</v>
      </c>
      <c r="D341" s="33" t="s">
        <v>103</v>
      </c>
      <c r="E341" s="33" t="s">
        <v>103</v>
      </c>
      <c r="F341" s="33" t="s">
        <v>103</v>
      </c>
      <c r="G341" s="33" t="s">
        <v>103</v>
      </c>
      <c r="H341" s="33" t="s">
        <v>103</v>
      </c>
      <c r="I341" s="33" t="s">
        <v>103</v>
      </c>
      <c r="J341" s="33" t="s">
        <v>103</v>
      </c>
    </row>
    <row r="342" spans="1:10" ht="17.100000000000001" customHeight="1" x14ac:dyDescent="0.2">
      <c r="A342" s="3" t="s">
        <v>31</v>
      </c>
      <c r="B342" s="33">
        <f>10711+18</f>
        <v>10729</v>
      </c>
      <c r="C342" s="33">
        <f>556330+573</f>
        <v>556903</v>
      </c>
      <c r="D342" s="33">
        <f>C342/B342*1000</f>
        <v>51906.32864199832</v>
      </c>
      <c r="E342" s="33">
        <f>10721+22</f>
        <v>10743</v>
      </c>
      <c r="F342" s="33">
        <f>645+556861</f>
        <v>557506</v>
      </c>
      <c r="G342" s="33">
        <f>F342/E342*1000</f>
        <v>51894.8152285209</v>
      </c>
      <c r="H342" s="33">
        <v>10674</v>
      </c>
      <c r="I342" s="33">
        <v>554572</v>
      </c>
      <c r="J342" s="33">
        <f>I342/H342*1000</f>
        <v>51955.405658609707</v>
      </c>
    </row>
    <row r="343" spans="1:10" ht="17.100000000000001" customHeight="1" x14ac:dyDescent="0.2">
      <c r="A343" s="3" t="s">
        <v>92</v>
      </c>
      <c r="B343" s="33" t="s">
        <v>103</v>
      </c>
      <c r="C343" s="33" t="s">
        <v>103</v>
      </c>
      <c r="D343" s="33" t="s">
        <v>103</v>
      </c>
      <c r="E343" s="33" t="s">
        <v>103</v>
      </c>
      <c r="F343" s="33" t="s">
        <v>103</v>
      </c>
      <c r="G343" s="33" t="s">
        <v>103</v>
      </c>
      <c r="H343" s="33" t="s">
        <v>103</v>
      </c>
      <c r="I343" s="33" t="s">
        <v>103</v>
      </c>
      <c r="J343" s="33" t="s">
        <v>103</v>
      </c>
    </row>
    <row r="344" spans="1:10" ht="17.100000000000001" customHeight="1" x14ac:dyDescent="0.2">
      <c r="A344" s="3" t="s">
        <v>50</v>
      </c>
      <c r="B344" s="33" t="s">
        <v>103</v>
      </c>
      <c r="C344" s="33" t="s">
        <v>103</v>
      </c>
      <c r="D344" s="33" t="s">
        <v>103</v>
      </c>
      <c r="E344" s="33" t="s">
        <v>103</v>
      </c>
      <c r="F344" s="33" t="s">
        <v>103</v>
      </c>
      <c r="G344" s="33" t="s">
        <v>103</v>
      </c>
      <c r="H344" s="33" t="s">
        <v>103</v>
      </c>
      <c r="I344" s="33" t="s">
        <v>103</v>
      </c>
      <c r="J344" s="33" t="s">
        <v>103</v>
      </c>
    </row>
    <row r="345" spans="1:10" ht="17.100000000000001" customHeight="1" x14ac:dyDescent="0.2">
      <c r="A345" s="3" t="s">
        <v>35</v>
      </c>
      <c r="B345" s="33">
        <v>2213</v>
      </c>
      <c r="C345" s="33">
        <v>85761</v>
      </c>
      <c r="D345" s="33">
        <f>C345/B345*1000</f>
        <v>38753.276095797562</v>
      </c>
      <c r="E345" s="33">
        <v>2612</v>
      </c>
      <c r="F345" s="33">
        <v>101337</v>
      </c>
      <c r="G345" s="33">
        <f>F345/E345*1000</f>
        <v>38796.707503828489</v>
      </c>
      <c r="H345" s="33">
        <v>2163</v>
      </c>
      <c r="I345" s="33">
        <v>83879</v>
      </c>
      <c r="J345" s="33">
        <f>I345/H345*1000</f>
        <v>38779.010633379563</v>
      </c>
    </row>
    <row r="346" spans="1:10" ht="17.100000000000001" customHeight="1" x14ac:dyDescent="0.2">
      <c r="A346" s="3" t="s">
        <v>49</v>
      </c>
      <c r="B346" s="33" t="s">
        <v>103</v>
      </c>
      <c r="C346" s="33" t="s">
        <v>103</v>
      </c>
      <c r="D346" s="33" t="s">
        <v>103</v>
      </c>
      <c r="E346" s="33" t="s">
        <v>103</v>
      </c>
      <c r="F346" s="33" t="s">
        <v>103</v>
      </c>
      <c r="G346" s="33" t="s">
        <v>103</v>
      </c>
      <c r="H346" s="33" t="s">
        <v>103</v>
      </c>
      <c r="I346" s="33" t="s">
        <v>103</v>
      </c>
      <c r="J346" s="33" t="s">
        <v>103</v>
      </c>
    </row>
    <row r="347" spans="1:10" ht="17.100000000000001" customHeight="1" x14ac:dyDescent="0.2">
      <c r="A347" s="3" t="s">
        <v>45</v>
      </c>
      <c r="B347" s="33">
        <v>1098</v>
      </c>
      <c r="C347" s="33">
        <v>21913</v>
      </c>
      <c r="D347" s="33">
        <f>C347/B347*1000</f>
        <v>19957.194899817849</v>
      </c>
      <c r="E347" s="33">
        <v>981</v>
      </c>
      <c r="F347" s="33">
        <v>36192</v>
      </c>
      <c r="G347" s="33">
        <f>F347/E347*1000</f>
        <v>36892.96636085627</v>
      </c>
      <c r="H347" s="33">
        <v>583</v>
      </c>
      <c r="I347" s="33">
        <v>12774</v>
      </c>
      <c r="J347" s="33">
        <f>I347/H347*1000</f>
        <v>21910.806174957121</v>
      </c>
    </row>
    <row r="348" spans="1:10" ht="17.100000000000001" customHeight="1" x14ac:dyDescent="0.2">
      <c r="A348" s="3" t="s">
        <v>79</v>
      </c>
      <c r="B348" s="33" t="s">
        <v>103</v>
      </c>
      <c r="C348" s="33" t="s">
        <v>103</v>
      </c>
      <c r="D348" s="33" t="s">
        <v>103</v>
      </c>
      <c r="E348" s="33" t="s">
        <v>103</v>
      </c>
      <c r="F348" s="33" t="s">
        <v>103</v>
      </c>
      <c r="G348" s="33" t="s">
        <v>103</v>
      </c>
      <c r="H348" s="33" t="s">
        <v>103</v>
      </c>
      <c r="I348" s="33" t="s">
        <v>103</v>
      </c>
      <c r="J348" s="33" t="s">
        <v>103</v>
      </c>
    </row>
    <row r="349" spans="1:10" s="8" customFormat="1" ht="13.5" customHeight="1" x14ac:dyDescent="0.2">
      <c r="D349" s="16" t="s">
        <v>82</v>
      </c>
      <c r="E349" s="54" t="s">
        <v>100</v>
      </c>
    </row>
    <row r="350" spans="1:10" s="8" customFormat="1" ht="13.5" customHeight="1" x14ac:dyDescent="0.2">
      <c r="E350" s="8" t="s">
        <v>101</v>
      </c>
    </row>
    <row r="351" spans="1:10" ht="60" customHeight="1" x14ac:dyDescent="0.2">
      <c r="A351" s="73" t="s">
        <v>78</v>
      </c>
      <c r="B351" s="73"/>
      <c r="C351" s="73"/>
      <c r="D351" s="73"/>
      <c r="E351" s="73"/>
      <c r="F351" s="73"/>
      <c r="G351" s="73"/>
      <c r="H351" s="73"/>
      <c r="I351" s="73"/>
      <c r="J351" s="73"/>
    </row>
    <row r="352" spans="1:10" ht="12.75" customHeight="1" x14ac:dyDescent="0.2">
      <c r="A352" s="9" t="s">
        <v>62</v>
      </c>
      <c r="B352" s="19"/>
      <c r="C352" s="15"/>
      <c r="D352" s="15"/>
      <c r="E352" s="15"/>
      <c r="F352" s="15"/>
      <c r="G352" s="15"/>
      <c r="H352" s="15"/>
      <c r="I352" s="15"/>
      <c r="J352" s="20"/>
    </row>
    <row r="353" spans="1:10" ht="20.100000000000001" customHeight="1" x14ac:dyDescent="0.2">
      <c r="A353" s="72" t="s">
        <v>30</v>
      </c>
      <c r="B353" s="72" t="s">
        <v>86</v>
      </c>
      <c r="C353" s="72"/>
      <c r="D353" s="72"/>
      <c r="E353" s="72" t="s">
        <v>95</v>
      </c>
      <c r="F353" s="72"/>
      <c r="G353" s="72"/>
      <c r="H353" s="72" t="s">
        <v>102</v>
      </c>
      <c r="I353" s="72"/>
      <c r="J353" s="72"/>
    </row>
    <row r="354" spans="1:10" ht="39.950000000000003" customHeight="1" x14ac:dyDescent="0.2">
      <c r="A354" s="72"/>
      <c r="B354" s="63" t="s">
        <v>98</v>
      </c>
      <c r="C354" s="63" t="s">
        <v>96</v>
      </c>
      <c r="D354" s="63" t="s">
        <v>97</v>
      </c>
      <c r="E354" s="63" t="s">
        <v>98</v>
      </c>
      <c r="F354" s="63" t="s">
        <v>96</v>
      </c>
      <c r="G354" s="63" t="s">
        <v>97</v>
      </c>
      <c r="H354" s="63" t="s">
        <v>98</v>
      </c>
      <c r="I354" s="63" t="s">
        <v>96</v>
      </c>
      <c r="J354" s="63" t="s">
        <v>97</v>
      </c>
    </row>
    <row r="355" spans="1:10" ht="25.5" customHeight="1" x14ac:dyDescent="0.2">
      <c r="A355" s="6" t="s">
        <v>68</v>
      </c>
      <c r="B355" s="36">
        <f t="shared" ref="B355:C355" si="27">SUM(B356:B387)</f>
        <v>174</v>
      </c>
      <c r="C355" s="36">
        <f t="shared" si="27"/>
        <v>95.2</v>
      </c>
      <c r="D355" s="36">
        <f>C355/B355*1000</f>
        <v>547.12643678160919</v>
      </c>
      <c r="E355" s="36">
        <f t="shared" ref="E355:F355" si="28">SUM(E356:E387)</f>
        <v>159</v>
      </c>
      <c r="F355" s="36">
        <f t="shared" si="28"/>
        <v>82.3</v>
      </c>
      <c r="G355" s="36">
        <f>F355/E355*1000</f>
        <v>517.6100628930817</v>
      </c>
      <c r="H355" s="36">
        <f>SUM(H356:H387)</f>
        <v>213</v>
      </c>
      <c r="I355" s="36">
        <f>SUM(I356:I387)</f>
        <v>110</v>
      </c>
      <c r="J355" s="36">
        <f>I355/H355*1000</f>
        <v>516.43192488262912</v>
      </c>
    </row>
    <row r="356" spans="1:10" ht="17.100000000000001" customHeight="1" x14ac:dyDescent="0.2">
      <c r="A356" s="58" t="s">
        <v>39</v>
      </c>
      <c r="B356" s="30" t="s">
        <v>103</v>
      </c>
      <c r="C356" s="30" t="s">
        <v>103</v>
      </c>
      <c r="D356" s="30" t="s">
        <v>103</v>
      </c>
      <c r="E356" s="30" t="s">
        <v>103</v>
      </c>
      <c r="F356" s="30" t="s">
        <v>103</v>
      </c>
      <c r="G356" s="30" t="s">
        <v>103</v>
      </c>
      <c r="H356" s="30" t="s">
        <v>103</v>
      </c>
      <c r="I356" s="30" t="s">
        <v>103</v>
      </c>
      <c r="J356" s="30" t="s">
        <v>103</v>
      </c>
    </row>
    <row r="357" spans="1:10" ht="17.100000000000001" customHeight="1" x14ac:dyDescent="0.2">
      <c r="A357" s="58" t="s">
        <v>46</v>
      </c>
      <c r="B357" s="30" t="s">
        <v>103</v>
      </c>
      <c r="C357" s="30" t="s">
        <v>103</v>
      </c>
      <c r="D357" s="30" t="s">
        <v>103</v>
      </c>
      <c r="E357" s="30" t="s">
        <v>103</v>
      </c>
      <c r="F357" s="30" t="s">
        <v>103</v>
      </c>
      <c r="G357" s="30" t="s">
        <v>103</v>
      </c>
      <c r="H357" s="30" t="s">
        <v>103</v>
      </c>
      <c r="I357" s="30" t="s">
        <v>103</v>
      </c>
      <c r="J357" s="30" t="s">
        <v>103</v>
      </c>
    </row>
    <row r="358" spans="1:10" ht="17.100000000000001" customHeight="1" x14ac:dyDescent="0.2">
      <c r="A358" s="58" t="s">
        <v>42</v>
      </c>
      <c r="B358" s="30" t="s">
        <v>103</v>
      </c>
      <c r="C358" s="30" t="s">
        <v>103</v>
      </c>
      <c r="D358" s="30" t="s">
        <v>103</v>
      </c>
      <c r="E358" s="30" t="s">
        <v>103</v>
      </c>
      <c r="F358" s="30" t="s">
        <v>103</v>
      </c>
      <c r="G358" s="30" t="s">
        <v>103</v>
      </c>
      <c r="H358" s="30" t="s">
        <v>103</v>
      </c>
      <c r="I358" s="30" t="s">
        <v>103</v>
      </c>
      <c r="J358" s="30" t="s">
        <v>103</v>
      </c>
    </row>
    <row r="359" spans="1:10" ht="17.100000000000001" customHeight="1" x14ac:dyDescent="0.2">
      <c r="A359" s="58" t="s">
        <v>51</v>
      </c>
      <c r="B359" s="30" t="s">
        <v>103</v>
      </c>
      <c r="C359" s="30" t="s">
        <v>103</v>
      </c>
      <c r="D359" s="30" t="s">
        <v>103</v>
      </c>
      <c r="E359" s="30" t="s">
        <v>103</v>
      </c>
      <c r="F359" s="30" t="s">
        <v>103</v>
      </c>
      <c r="G359" s="30" t="s">
        <v>103</v>
      </c>
      <c r="H359" s="30" t="s">
        <v>103</v>
      </c>
      <c r="I359" s="30" t="s">
        <v>103</v>
      </c>
      <c r="J359" s="30" t="s">
        <v>103</v>
      </c>
    </row>
    <row r="360" spans="1:10" ht="17.100000000000001" customHeight="1" x14ac:dyDescent="0.2">
      <c r="A360" s="58" t="s">
        <v>33</v>
      </c>
      <c r="B360" s="30" t="s">
        <v>103</v>
      </c>
      <c r="C360" s="30" t="s">
        <v>103</v>
      </c>
      <c r="D360" s="30" t="s">
        <v>103</v>
      </c>
      <c r="E360" s="30" t="s">
        <v>103</v>
      </c>
      <c r="F360" s="30" t="s">
        <v>103</v>
      </c>
      <c r="G360" s="30" t="s">
        <v>103</v>
      </c>
      <c r="H360" s="30" t="s">
        <v>103</v>
      </c>
      <c r="I360" s="30" t="s">
        <v>103</v>
      </c>
      <c r="J360" s="30" t="s">
        <v>103</v>
      </c>
    </row>
    <row r="361" spans="1:10" ht="17.100000000000001" customHeight="1" x14ac:dyDescent="0.2">
      <c r="A361" s="58" t="s">
        <v>48</v>
      </c>
      <c r="B361" s="30" t="s">
        <v>103</v>
      </c>
      <c r="C361" s="30" t="s">
        <v>103</v>
      </c>
      <c r="D361" s="30" t="s">
        <v>103</v>
      </c>
      <c r="E361" s="30" t="s">
        <v>103</v>
      </c>
      <c r="F361" s="30" t="s">
        <v>103</v>
      </c>
      <c r="G361" s="30" t="s">
        <v>103</v>
      </c>
      <c r="H361" s="30" t="s">
        <v>103</v>
      </c>
      <c r="I361" s="30" t="s">
        <v>103</v>
      </c>
      <c r="J361" s="30" t="s">
        <v>103</v>
      </c>
    </row>
    <row r="362" spans="1:10" ht="17.100000000000001" customHeight="1" x14ac:dyDescent="0.2">
      <c r="A362" s="58" t="s">
        <v>44</v>
      </c>
      <c r="B362" s="30">
        <v>173</v>
      </c>
      <c r="C362" s="30">
        <v>95</v>
      </c>
      <c r="D362" s="30">
        <f>C362/B362*1000</f>
        <v>549.13294797687865</v>
      </c>
      <c r="E362" s="30">
        <v>158</v>
      </c>
      <c r="F362" s="30">
        <v>82</v>
      </c>
      <c r="G362" s="30">
        <f>F362/E362*1000</f>
        <v>518.98734177215192</v>
      </c>
      <c r="H362" s="30">
        <v>212</v>
      </c>
      <c r="I362" s="30">
        <v>110</v>
      </c>
      <c r="J362" s="30">
        <f t="shared" ref="J362" si="29">I362/H362*1000</f>
        <v>518.86792452830184</v>
      </c>
    </row>
    <row r="363" spans="1:10" ht="17.100000000000001" customHeight="1" x14ac:dyDescent="0.2">
      <c r="A363" s="58" t="s">
        <v>80</v>
      </c>
      <c r="B363" s="30" t="s">
        <v>103</v>
      </c>
      <c r="C363" s="30" t="s">
        <v>103</v>
      </c>
      <c r="D363" s="30" t="s">
        <v>103</v>
      </c>
      <c r="E363" s="30" t="s">
        <v>103</v>
      </c>
      <c r="F363" s="30" t="s">
        <v>103</v>
      </c>
      <c r="G363" s="30" t="s">
        <v>103</v>
      </c>
      <c r="H363" s="30" t="s">
        <v>103</v>
      </c>
      <c r="I363" s="30" t="s">
        <v>103</v>
      </c>
      <c r="J363" s="30" t="s">
        <v>103</v>
      </c>
    </row>
    <row r="364" spans="1:10" ht="17.100000000000001" customHeight="1" x14ac:dyDescent="0.2">
      <c r="A364" s="58" t="s">
        <v>81</v>
      </c>
      <c r="B364" s="30" t="s">
        <v>103</v>
      </c>
      <c r="C364" s="30" t="s">
        <v>103</v>
      </c>
      <c r="D364" s="30" t="s">
        <v>103</v>
      </c>
      <c r="E364" s="30" t="s">
        <v>103</v>
      </c>
      <c r="F364" s="30" t="s">
        <v>103</v>
      </c>
      <c r="G364" s="30" t="s">
        <v>103</v>
      </c>
      <c r="H364" s="30" t="s">
        <v>103</v>
      </c>
      <c r="I364" s="30" t="s">
        <v>103</v>
      </c>
      <c r="J364" s="30" t="s">
        <v>103</v>
      </c>
    </row>
    <row r="365" spans="1:10" ht="17.100000000000001" customHeight="1" x14ac:dyDescent="0.2">
      <c r="A365" s="58" t="s">
        <v>37</v>
      </c>
      <c r="B365" s="30" t="s">
        <v>103</v>
      </c>
      <c r="C365" s="30" t="s">
        <v>103</v>
      </c>
      <c r="D365" s="30" t="s">
        <v>103</v>
      </c>
      <c r="E365" s="30" t="s">
        <v>103</v>
      </c>
      <c r="F365" s="30" t="s">
        <v>103</v>
      </c>
      <c r="G365" s="30" t="s">
        <v>103</v>
      </c>
      <c r="H365" s="30" t="s">
        <v>103</v>
      </c>
      <c r="I365" s="30" t="s">
        <v>103</v>
      </c>
      <c r="J365" s="30" t="s">
        <v>103</v>
      </c>
    </row>
    <row r="366" spans="1:10" ht="17.100000000000001" customHeight="1" x14ac:dyDescent="0.2">
      <c r="A366" s="58" t="s">
        <v>40</v>
      </c>
      <c r="B366" s="30" t="s">
        <v>103</v>
      </c>
      <c r="C366" s="30" t="s">
        <v>103</v>
      </c>
      <c r="D366" s="30" t="s">
        <v>103</v>
      </c>
      <c r="E366" s="30" t="s">
        <v>103</v>
      </c>
      <c r="F366" s="30" t="s">
        <v>103</v>
      </c>
      <c r="G366" s="30" t="s">
        <v>103</v>
      </c>
      <c r="H366" s="30" t="s">
        <v>103</v>
      </c>
      <c r="I366" s="30" t="s">
        <v>103</v>
      </c>
      <c r="J366" s="30" t="s">
        <v>103</v>
      </c>
    </row>
    <row r="367" spans="1:10" ht="17.100000000000001" customHeight="1" x14ac:dyDescent="0.2">
      <c r="A367" s="58" t="s">
        <v>38</v>
      </c>
      <c r="B367" s="30" t="s">
        <v>103</v>
      </c>
      <c r="C367" s="30" t="s">
        <v>103</v>
      </c>
      <c r="D367" s="30" t="s">
        <v>103</v>
      </c>
      <c r="E367" s="30" t="s">
        <v>103</v>
      </c>
      <c r="F367" s="30" t="s">
        <v>103</v>
      </c>
      <c r="G367" s="30" t="s">
        <v>103</v>
      </c>
      <c r="H367" s="30" t="s">
        <v>103</v>
      </c>
      <c r="I367" s="30" t="s">
        <v>103</v>
      </c>
      <c r="J367" s="30" t="s">
        <v>103</v>
      </c>
    </row>
    <row r="368" spans="1:10" ht="17.100000000000001" customHeight="1" x14ac:dyDescent="0.2">
      <c r="A368" s="58" t="s">
        <v>36</v>
      </c>
      <c r="B368" s="30" t="s">
        <v>103</v>
      </c>
      <c r="C368" s="30" t="s">
        <v>103</v>
      </c>
      <c r="D368" s="30" t="s">
        <v>103</v>
      </c>
      <c r="E368" s="30" t="s">
        <v>103</v>
      </c>
      <c r="F368" s="30" t="s">
        <v>103</v>
      </c>
      <c r="G368" s="30" t="s">
        <v>103</v>
      </c>
      <c r="H368" s="30" t="s">
        <v>103</v>
      </c>
      <c r="I368" s="30" t="s">
        <v>103</v>
      </c>
      <c r="J368" s="30" t="s">
        <v>103</v>
      </c>
    </row>
    <row r="369" spans="1:10" ht="17.100000000000001" customHeight="1" x14ac:dyDescent="0.2">
      <c r="A369" s="58" t="s">
        <v>43</v>
      </c>
      <c r="B369" s="30" t="s">
        <v>103</v>
      </c>
      <c r="C369" s="30" t="s">
        <v>103</v>
      </c>
      <c r="D369" s="30" t="s">
        <v>103</v>
      </c>
      <c r="E369" s="30" t="s">
        <v>103</v>
      </c>
      <c r="F369" s="30" t="s">
        <v>103</v>
      </c>
      <c r="G369" s="30" t="s">
        <v>103</v>
      </c>
      <c r="H369" s="30" t="s">
        <v>103</v>
      </c>
      <c r="I369" s="30" t="s">
        <v>103</v>
      </c>
      <c r="J369" s="30" t="s">
        <v>103</v>
      </c>
    </row>
    <row r="370" spans="1:10" ht="17.100000000000001" customHeight="1" x14ac:dyDescent="0.2">
      <c r="A370" s="58" t="s">
        <v>47</v>
      </c>
      <c r="B370" s="30" t="s">
        <v>103</v>
      </c>
      <c r="C370" s="30" t="s">
        <v>103</v>
      </c>
      <c r="D370" s="30" t="s">
        <v>103</v>
      </c>
      <c r="E370" s="30" t="s">
        <v>103</v>
      </c>
      <c r="F370" s="30" t="s">
        <v>103</v>
      </c>
      <c r="G370" s="30" t="s">
        <v>103</v>
      </c>
      <c r="H370" s="30" t="s">
        <v>103</v>
      </c>
      <c r="I370" s="30" t="s">
        <v>103</v>
      </c>
      <c r="J370" s="30" t="s">
        <v>103</v>
      </c>
    </row>
    <row r="371" spans="1:10" ht="17.100000000000001" customHeight="1" x14ac:dyDescent="0.2">
      <c r="A371" s="58" t="s">
        <v>52</v>
      </c>
      <c r="B371" s="30" t="s">
        <v>103</v>
      </c>
      <c r="C371" s="30" t="s">
        <v>103</v>
      </c>
      <c r="D371" s="30" t="s">
        <v>103</v>
      </c>
      <c r="E371" s="30" t="s">
        <v>103</v>
      </c>
      <c r="F371" s="30" t="s">
        <v>103</v>
      </c>
      <c r="G371" s="30" t="s">
        <v>103</v>
      </c>
      <c r="H371" s="30" t="s">
        <v>103</v>
      </c>
      <c r="I371" s="30" t="s">
        <v>103</v>
      </c>
      <c r="J371" s="30" t="s">
        <v>103</v>
      </c>
    </row>
    <row r="372" spans="1:10" ht="17.100000000000001" customHeight="1" x14ac:dyDescent="0.2">
      <c r="A372" s="58" t="s">
        <v>41</v>
      </c>
      <c r="B372" s="30" t="s">
        <v>103</v>
      </c>
      <c r="C372" s="30" t="s">
        <v>103</v>
      </c>
      <c r="D372" s="30" t="s">
        <v>103</v>
      </c>
      <c r="E372" s="30" t="s">
        <v>103</v>
      </c>
      <c r="F372" s="30" t="s">
        <v>103</v>
      </c>
      <c r="G372" s="30" t="s">
        <v>103</v>
      </c>
      <c r="H372" s="30" t="s">
        <v>103</v>
      </c>
      <c r="I372" s="30" t="s">
        <v>103</v>
      </c>
      <c r="J372" s="30" t="s">
        <v>103</v>
      </c>
    </row>
    <row r="373" spans="1:10" ht="17.100000000000001" customHeight="1" x14ac:dyDescent="0.2">
      <c r="A373" s="58" t="s">
        <v>34</v>
      </c>
      <c r="B373" s="30">
        <v>1</v>
      </c>
      <c r="C373" s="30">
        <v>0.2</v>
      </c>
      <c r="D373" s="30">
        <f>C373/B373*1000</f>
        <v>200</v>
      </c>
      <c r="E373" s="30">
        <v>1</v>
      </c>
      <c r="F373" s="30">
        <v>0.3</v>
      </c>
      <c r="G373" s="30">
        <f>F373/E373*1000</f>
        <v>300</v>
      </c>
      <c r="H373" s="30">
        <v>1</v>
      </c>
      <c r="I373" s="30" t="s">
        <v>103</v>
      </c>
      <c r="J373" s="30" t="s">
        <v>103</v>
      </c>
    </row>
    <row r="374" spans="1:10" ht="17.100000000000001" customHeight="1" x14ac:dyDescent="0.2">
      <c r="A374" s="58" t="s">
        <v>32</v>
      </c>
      <c r="B374" s="30" t="s">
        <v>103</v>
      </c>
      <c r="C374" s="30" t="s">
        <v>103</v>
      </c>
      <c r="D374" s="30" t="s">
        <v>103</v>
      </c>
      <c r="E374" s="30" t="s">
        <v>103</v>
      </c>
      <c r="F374" s="30" t="s">
        <v>103</v>
      </c>
      <c r="G374" s="30" t="s">
        <v>103</v>
      </c>
      <c r="H374" s="30" t="s">
        <v>103</v>
      </c>
      <c r="I374" s="30" t="s">
        <v>103</v>
      </c>
      <c r="J374" s="30" t="s">
        <v>103</v>
      </c>
    </row>
    <row r="375" spans="1:10" ht="17.100000000000001" customHeight="1" x14ac:dyDescent="0.2">
      <c r="A375" s="58" t="s">
        <v>31</v>
      </c>
      <c r="B375" s="30" t="s">
        <v>103</v>
      </c>
      <c r="C375" s="30" t="s">
        <v>103</v>
      </c>
      <c r="D375" s="30" t="s">
        <v>103</v>
      </c>
      <c r="E375" s="30" t="s">
        <v>103</v>
      </c>
      <c r="F375" s="30" t="s">
        <v>103</v>
      </c>
      <c r="G375" s="30" t="s">
        <v>103</v>
      </c>
      <c r="H375" s="30" t="s">
        <v>103</v>
      </c>
      <c r="I375" s="30" t="s">
        <v>103</v>
      </c>
      <c r="J375" s="30" t="s">
        <v>103</v>
      </c>
    </row>
    <row r="376" spans="1:10" ht="17.100000000000001" customHeight="1" x14ac:dyDescent="0.2">
      <c r="A376" s="58" t="s">
        <v>50</v>
      </c>
      <c r="B376" s="30" t="s">
        <v>103</v>
      </c>
      <c r="C376" s="30" t="s">
        <v>103</v>
      </c>
      <c r="D376" s="30" t="s">
        <v>103</v>
      </c>
      <c r="E376" s="30" t="s">
        <v>103</v>
      </c>
      <c r="F376" s="30" t="s">
        <v>103</v>
      </c>
      <c r="G376" s="30" t="s">
        <v>103</v>
      </c>
      <c r="H376" s="30" t="s">
        <v>103</v>
      </c>
      <c r="I376" s="30" t="s">
        <v>103</v>
      </c>
      <c r="J376" s="30" t="s">
        <v>103</v>
      </c>
    </row>
    <row r="377" spans="1:10" ht="17.100000000000001" customHeight="1" x14ac:dyDescent="0.2">
      <c r="A377" s="58" t="s">
        <v>35</v>
      </c>
      <c r="B377" s="30" t="s">
        <v>103</v>
      </c>
      <c r="C377" s="30" t="s">
        <v>103</v>
      </c>
      <c r="D377" s="30" t="s">
        <v>103</v>
      </c>
      <c r="E377" s="30" t="s">
        <v>103</v>
      </c>
      <c r="F377" s="30" t="s">
        <v>103</v>
      </c>
      <c r="G377" s="30" t="s">
        <v>103</v>
      </c>
      <c r="H377" s="30" t="s">
        <v>103</v>
      </c>
      <c r="I377" s="30" t="s">
        <v>103</v>
      </c>
      <c r="J377" s="30" t="s">
        <v>103</v>
      </c>
    </row>
    <row r="378" spans="1:10" ht="17.100000000000001" customHeight="1" x14ac:dyDescent="0.2">
      <c r="A378" s="58" t="s">
        <v>49</v>
      </c>
      <c r="B378" s="30" t="s">
        <v>103</v>
      </c>
      <c r="C378" s="30" t="s">
        <v>103</v>
      </c>
      <c r="D378" s="30" t="s">
        <v>103</v>
      </c>
      <c r="E378" s="30" t="s">
        <v>103</v>
      </c>
      <c r="F378" s="30" t="s">
        <v>103</v>
      </c>
      <c r="G378" s="30" t="s">
        <v>103</v>
      </c>
      <c r="H378" s="30" t="s">
        <v>103</v>
      </c>
      <c r="I378" s="30" t="s">
        <v>103</v>
      </c>
      <c r="J378" s="30" t="s">
        <v>103</v>
      </c>
    </row>
    <row r="379" spans="1:10" ht="17.100000000000001" customHeight="1" x14ac:dyDescent="0.2">
      <c r="A379" s="58" t="s">
        <v>45</v>
      </c>
      <c r="B379" s="30" t="s">
        <v>103</v>
      </c>
      <c r="C379" s="30" t="s">
        <v>103</v>
      </c>
      <c r="D379" s="30" t="s">
        <v>103</v>
      </c>
      <c r="E379" s="30" t="s">
        <v>103</v>
      </c>
      <c r="F379" s="30" t="s">
        <v>103</v>
      </c>
      <c r="G379" s="30" t="s">
        <v>103</v>
      </c>
      <c r="H379" s="30" t="s">
        <v>103</v>
      </c>
      <c r="I379" s="30" t="s">
        <v>103</v>
      </c>
      <c r="J379" s="30" t="s">
        <v>103</v>
      </c>
    </row>
    <row r="380" spans="1:10" ht="17.100000000000001" customHeight="1" x14ac:dyDescent="0.2">
      <c r="A380" s="58" t="s">
        <v>79</v>
      </c>
      <c r="B380" s="30" t="s">
        <v>103</v>
      </c>
      <c r="C380" s="30" t="s">
        <v>103</v>
      </c>
      <c r="D380" s="30" t="s">
        <v>103</v>
      </c>
      <c r="E380" s="30" t="s">
        <v>103</v>
      </c>
      <c r="F380" s="30" t="s">
        <v>103</v>
      </c>
      <c r="G380" s="30" t="s">
        <v>103</v>
      </c>
      <c r="H380" s="30" t="s">
        <v>103</v>
      </c>
      <c r="I380" s="30" t="s">
        <v>103</v>
      </c>
      <c r="J380" s="30" t="s">
        <v>103</v>
      </c>
    </row>
    <row r="381" spans="1:10" ht="17.100000000000001" customHeight="1" x14ac:dyDescent="0.2">
      <c r="A381" s="58" t="s">
        <v>94</v>
      </c>
      <c r="B381" s="30" t="s">
        <v>103</v>
      </c>
      <c r="C381" s="30" t="s">
        <v>103</v>
      </c>
      <c r="D381" s="30" t="s">
        <v>103</v>
      </c>
      <c r="E381" s="30" t="s">
        <v>103</v>
      </c>
      <c r="F381" s="30" t="s">
        <v>103</v>
      </c>
      <c r="G381" s="30" t="s">
        <v>103</v>
      </c>
      <c r="H381" s="30" t="s">
        <v>103</v>
      </c>
      <c r="I381" s="30" t="s">
        <v>103</v>
      </c>
      <c r="J381" s="30" t="s">
        <v>103</v>
      </c>
    </row>
    <row r="382" spans="1:10" ht="17.100000000000001" customHeight="1" x14ac:dyDescent="0.2">
      <c r="A382" s="58" t="s">
        <v>87</v>
      </c>
      <c r="B382" s="30" t="s">
        <v>103</v>
      </c>
      <c r="C382" s="30" t="s">
        <v>103</v>
      </c>
      <c r="D382" s="30" t="s">
        <v>103</v>
      </c>
      <c r="E382" s="30" t="s">
        <v>103</v>
      </c>
      <c r="F382" s="30" t="s">
        <v>103</v>
      </c>
      <c r="G382" s="30" t="s">
        <v>103</v>
      </c>
      <c r="H382" s="30" t="s">
        <v>103</v>
      </c>
      <c r="I382" s="30" t="s">
        <v>103</v>
      </c>
      <c r="J382" s="30" t="s">
        <v>103</v>
      </c>
    </row>
    <row r="383" spans="1:10" ht="17.100000000000001" customHeight="1" x14ac:dyDescent="0.2">
      <c r="A383" s="58" t="s">
        <v>88</v>
      </c>
      <c r="B383" s="30" t="s">
        <v>103</v>
      </c>
      <c r="C383" s="30" t="s">
        <v>103</v>
      </c>
      <c r="D383" s="30" t="s">
        <v>103</v>
      </c>
      <c r="E383" s="30" t="s">
        <v>103</v>
      </c>
      <c r="F383" s="30" t="s">
        <v>103</v>
      </c>
      <c r="G383" s="30" t="s">
        <v>103</v>
      </c>
      <c r="H383" s="30" t="s">
        <v>103</v>
      </c>
      <c r="I383" s="30" t="s">
        <v>103</v>
      </c>
      <c r="J383" s="30" t="s">
        <v>103</v>
      </c>
    </row>
    <row r="384" spans="1:10" ht="17.100000000000001" customHeight="1" x14ac:dyDescent="0.2">
      <c r="A384" s="58" t="s">
        <v>89</v>
      </c>
      <c r="B384" s="30" t="s">
        <v>103</v>
      </c>
      <c r="C384" s="30" t="s">
        <v>103</v>
      </c>
      <c r="D384" s="30" t="s">
        <v>103</v>
      </c>
      <c r="E384" s="30" t="s">
        <v>103</v>
      </c>
      <c r="F384" s="30" t="s">
        <v>103</v>
      </c>
      <c r="G384" s="30" t="s">
        <v>103</v>
      </c>
      <c r="H384" s="30" t="s">
        <v>103</v>
      </c>
      <c r="I384" s="30" t="s">
        <v>103</v>
      </c>
      <c r="J384" s="30" t="s">
        <v>103</v>
      </c>
    </row>
    <row r="385" spans="1:10" ht="17.100000000000001" customHeight="1" x14ac:dyDescent="0.2">
      <c r="A385" s="58" t="s">
        <v>90</v>
      </c>
      <c r="B385" s="30" t="s">
        <v>103</v>
      </c>
      <c r="C385" s="30" t="s">
        <v>103</v>
      </c>
      <c r="D385" s="30" t="s">
        <v>103</v>
      </c>
      <c r="E385" s="30" t="s">
        <v>103</v>
      </c>
      <c r="F385" s="30" t="s">
        <v>103</v>
      </c>
      <c r="G385" s="30" t="s">
        <v>103</v>
      </c>
      <c r="H385" s="30" t="s">
        <v>103</v>
      </c>
      <c r="I385" s="30" t="s">
        <v>103</v>
      </c>
      <c r="J385" s="30" t="s">
        <v>103</v>
      </c>
    </row>
    <row r="386" spans="1:10" ht="17.100000000000001" customHeight="1" x14ac:dyDescent="0.2">
      <c r="A386" s="58" t="s">
        <v>91</v>
      </c>
      <c r="B386" s="30" t="s">
        <v>103</v>
      </c>
      <c r="C386" s="30" t="s">
        <v>103</v>
      </c>
      <c r="D386" s="30" t="s">
        <v>103</v>
      </c>
      <c r="E386" s="30" t="s">
        <v>103</v>
      </c>
      <c r="F386" s="30" t="s">
        <v>103</v>
      </c>
      <c r="G386" s="30" t="s">
        <v>103</v>
      </c>
      <c r="H386" s="30" t="s">
        <v>103</v>
      </c>
      <c r="I386" s="30" t="s">
        <v>103</v>
      </c>
      <c r="J386" s="30" t="s">
        <v>103</v>
      </c>
    </row>
    <row r="387" spans="1:10" ht="17.100000000000001" customHeight="1" x14ac:dyDescent="0.2">
      <c r="A387" s="58" t="s">
        <v>92</v>
      </c>
      <c r="B387" s="30" t="s">
        <v>103</v>
      </c>
      <c r="C387" s="30" t="s">
        <v>103</v>
      </c>
      <c r="D387" s="30" t="s">
        <v>103</v>
      </c>
      <c r="E387" s="30" t="s">
        <v>103</v>
      </c>
      <c r="F387" s="30" t="s">
        <v>103</v>
      </c>
      <c r="G387" s="30" t="s">
        <v>103</v>
      </c>
      <c r="H387" s="30" t="s">
        <v>103</v>
      </c>
      <c r="I387" s="30" t="s">
        <v>103</v>
      </c>
      <c r="J387" s="30" t="s">
        <v>103</v>
      </c>
    </row>
    <row r="388" spans="1:10" ht="11.25" customHeight="1" x14ac:dyDescent="0.2">
      <c r="F388" s="17"/>
    </row>
    <row r="389" spans="1:10" s="8" customFormat="1" ht="11.25" customHeight="1" x14ac:dyDescent="0.2">
      <c r="D389" s="16" t="s">
        <v>82</v>
      </c>
      <c r="E389" s="54" t="s">
        <v>100</v>
      </c>
    </row>
    <row r="390" spans="1:10" s="8" customFormat="1" ht="12" x14ac:dyDescent="0.2">
      <c r="E390" s="8" t="s">
        <v>101</v>
      </c>
      <c r="G390" s="13"/>
    </row>
    <row r="391" spans="1:10" ht="60" customHeight="1" x14ac:dyDescent="0.2">
      <c r="A391" s="77" t="s">
        <v>109</v>
      </c>
      <c r="B391" s="77"/>
      <c r="C391" s="77"/>
      <c r="D391" s="77"/>
      <c r="E391" s="77"/>
      <c r="F391" s="77"/>
      <c r="G391" s="77"/>
      <c r="H391" s="77"/>
      <c r="I391" s="77"/>
      <c r="J391" s="77"/>
    </row>
    <row r="392" spans="1:10" s="8" customFormat="1" ht="12.75" customHeight="1" x14ac:dyDescent="0.2">
      <c r="A392" s="8" t="s">
        <v>67</v>
      </c>
      <c r="B392" s="15"/>
      <c r="C392" s="15"/>
      <c r="D392" s="15"/>
      <c r="E392" s="15"/>
      <c r="F392" s="15"/>
      <c r="I392" s="15"/>
      <c r="J392" s="15"/>
    </row>
    <row r="393" spans="1:10" ht="20.100000000000001" customHeight="1" x14ac:dyDescent="0.2">
      <c r="A393" s="72" t="s">
        <v>30</v>
      </c>
      <c r="B393" s="72" t="s">
        <v>86</v>
      </c>
      <c r="C393" s="72"/>
      <c r="D393" s="72"/>
      <c r="E393" s="72" t="s">
        <v>95</v>
      </c>
      <c r="F393" s="72"/>
      <c r="G393" s="72"/>
      <c r="H393" s="72" t="s">
        <v>102</v>
      </c>
      <c r="I393" s="72"/>
      <c r="J393" s="72"/>
    </row>
    <row r="394" spans="1:10" ht="39.950000000000003" customHeight="1" x14ac:dyDescent="0.2">
      <c r="A394" s="72"/>
      <c r="B394" s="63" t="s">
        <v>98</v>
      </c>
      <c r="C394" s="63" t="s">
        <v>96</v>
      </c>
      <c r="D394" s="63" t="s">
        <v>97</v>
      </c>
      <c r="E394" s="63" t="s">
        <v>98</v>
      </c>
      <c r="F394" s="63" t="s">
        <v>96</v>
      </c>
      <c r="G394" s="63" t="s">
        <v>97</v>
      </c>
      <c r="H394" s="63" t="s">
        <v>98</v>
      </c>
      <c r="I394" s="63" t="s">
        <v>96</v>
      </c>
      <c r="J394" s="63" t="s">
        <v>97</v>
      </c>
    </row>
    <row r="395" spans="1:10" ht="25.5" customHeight="1" x14ac:dyDescent="0.2">
      <c r="A395" s="6" t="s">
        <v>68</v>
      </c>
      <c r="B395" s="32">
        <f t="shared" ref="B395:C395" si="30">SUM(B396:B427)</f>
        <v>10897</v>
      </c>
      <c r="C395" s="32">
        <f t="shared" si="30"/>
        <v>4959</v>
      </c>
      <c r="D395" s="32">
        <f t="shared" ref="D395:D400" si="31">C395/B395*1000</f>
        <v>455.07937964577405</v>
      </c>
      <c r="E395" s="32">
        <f>SUM(E396:E427)</f>
        <v>12002</v>
      </c>
      <c r="F395" s="32">
        <f t="shared" ref="F395" si="32">SUM(F396:F427)</f>
        <v>5715</v>
      </c>
      <c r="G395" s="32">
        <f t="shared" ref="G395:G400" si="33">F395/E395*1000</f>
        <v>476.17063822696213</v>
      </c>
      <c r="H395" s="32">
        <f>SUM(H396:H427)</f>
        <v>13023</v>
      </c>
      <c r="I395" s="32">
        <f>SUM(I396:I427)</f>
        <v>6406</v>
      </c>
      <c r="J395" s="32">
        <f t="shared" ref="J395:J400" si="34">I395/H395*1000</f>
        <v>491.89894801505028</v>
      </c>
    </row>
    <row r="396" spans="1:10" ht="17.100000000000001" customHeight="1" x14ac:dyDescent="0.2">
      <c r="A396" s="3" t="s">
        <v>39</v>
      </c>
      <c r="B396" s="33">
        <v>49</v>
      </c>
      <c r="C396" s="33">
        <v>21</v>
      </c>
      <c r="D396" s="33">
        <f t="shared" si="31"/>
        <v>428.57142857142856</v>
      </c>
      <c r="E396" s="33">
        <v>50</v>
      </c>
      <c r="F396" s="33">
        <v>21</v>
      </c>
      <c r="G396" s="33">
        <f t="shared" si="33"/>
        <v>420</v>
      </c>
      <c r="H396" s="33">
        <v>50</v>
      </c>
      <c r="I396" s="33">
        <v>19</v>
      </c>
      <c r="J396" s="33">
        <f t="shared" si="34"/>
        <v>380</v>
      </c>
    </row>
    <row r="397" spans="1:10" ht="17.100000000000001" customHeight="1" x14ac:dyDescent="0.2">
      <c r="A397" s="3" t="s">
        <v>94</v>
      </c>
      <c r="B397" s="33">
        <v>2990</v>
      </c>
      <c r="C397" s="33">
        <v>987</v>
      </c>
      <c r="D397" s="33">
        <f t="shared" si="31"/>
        <v>330.10033444816054</v>
      </c>
      <c r="E397" s="33">
        <v>3037</v>
      </c>
      <c r="F397" s="33">
        <v>1003</v>
      </c>
      <c r="G397" s="33">
        <f t="shared" si="33"/>
        <v>330.26012512347711</v>
      </c>
      <c r="H397" s="33">
        <v>3050</v>
      </c>
      <c r="I397" s="33">
        <v>995</v>
      </c>
      <c r="J397" s="33">
        <f t="shared" si="34"/>
        <v>326.22950819672133</v>
      </c>
    </row>
    <row r="398" spans="1:10" ht="17.100000000000001" customHeight="1" x14ac:dyDescent="0.2">
      <c r="A398" s="3" t="s">
        <v>46</v>
      </c>
      <c r="B398" s="33">
        <v>25</v>
      </c>
      <c r="C398" s="33">
        <v>14</v>
      </c>
      <c r="D398" s="33">
        <f t="shared" si="31"/>
        <v>560</v>
      </c>
      <c r="E398" s="33">
        <v>18</v>
      </c>
      <c r="F398" s="33">
        <v>11</v>
      </c>
      <c r="G398" s="33">
        <f t="shared" si="33"/>
        <v>611.1111111111112</v>
      </c>
      <c r="H398" s="33">
        <v>23</v>
      </c>
      <c r="I398" s="33">
        <v>13</v>
      </c>
      <c r="J398" s="33">
        <f t="shared" si="34"/>
        <v>565.21739130434776</v>
      </c>
    </row>
    <row r="399" spans="1:10" ht="17.100000000000001" customHeight="1" x14ac:dyDescent="0.2">
      <c r="A399" s="3" t="s">
        <v>42</v>
      </c>
      <c r="B399" s="33">
        <v>47</v>
      </c>
      <c r="C399" s="33">
        <v>29</v>
      </c>
      <c r="D399" s="33">
        <f t="shared" si="31"/>
        <v>617.02127659574467</v>
      </c>
      <c r="E399" s="33">
        <v>38</v>
      </c>
      <c r="F399" s="33">
        <v>23</v>
      </c>
      <c r="G399" s="33">
        <f t="shared" si="33"/>
        <v>605.26315789473688</v>
      </c>
      <c r="H399" s="33">
        <v>38</v>
      </c>
      <c r="I399" s="33">
        <v>21</v>
      </c>
      <c r="J399" s="33">
        <f t="shared" si="34"/>
        <v>552.63157894736844</v>
      </c>
    </row>
    <row r="400" spans="1:10" ht="17.100000000000001" customHeight="1" x14ac:dyDescent="0.2">
      <c r="A400" s="3" t="s">
        <v>51</v>
      </c>
      <c r="B400" s="33">
        <v>388</v>
      </c>
      <c r="C400" s="33">
        <v>197</v>
      </c>
      <c r="D400" s="33">
        <f t="shared" si="31"/>
        <v>507.73195876288656</v>
      </c>
      <c r="E400" s="33">
        <v>565</v>
      </c>
      <c r="F400" s="33">
        <v>261</v>
      </c>
      <c r="G400" s="33">
        <f t="shared" si="33"/>
        <v>461.94690265486724</v>
      </c>
      <c r="H400" s="33">
        <v>786</v>
      </c>
      <c r="I400" s="33">
        <v>322</v>
      </c>
      <c r="J400" s="33">
        <f t="shared" si="34"/>
        <v>409.66921119592877</v>
      </c>
    </row>
    <row r="401" spans="1:10" ht="17.100000000000001" customHeight="1" x14ac:dyDescent="0.2">
      <c r="A401" s="3" t="s">
        <v>33</v>
      </c>
      <c r="B401" s="33" t="s">
        <v>103</v>
      </c>
      <c r="C401" s="33" t="s">
        <v>103</v>
      </c>
      <c r="D401" s="33" t="s">
        <v>103</v>
      </c>
      <c r="E401" s="33" t="s">
        <v>103</v>
      </c>
      <c r="F401" s="33" t="s">
        <v>103</v>
      </c>
      <c r="G401" s="33" t="s">
        <v>103</v>
      </c>
      <c r="H401" s="57" t="s">
        <v>103</v>
      </c>
      <c r="I401" s="57" t="s">
        <v>103</v>
      </c>
      <c r="J401" s="33" t="s">
        <v>103</v>
      </c>
    </row>
    <row r="402" spans="1:10" ht="17.100000000000001" customHeight="1" x14ac:dyDescent="0.2">
      <c r="A402" s="3" t="s">
        <v>48</v>
      </c>
      <c r="B402" s="33" t="s">
        <v>103</v>
      </c>
      <c r="C402" s="33" t="s">
        <v>103</v>
      </c>
      <c r="D402" s="33" t="s">
        <v>103</v>
      </c>
      <c r="E402" s="33" t="s">
        <v>103</v>
      </c>
      <c r="F402" s="33" t="s">
        <v>103</v>
      </c>
      <c r="G402" s="33" t="s">
        <v>103</v>
      </c>
      <c r="H402" s="57" t="s">
        <v>103</v>
      </c>
      <c r="I402" s="57" t="s">
        <v>103</v>
      </c>
      <c r="J402" s="33" t="s">
        <v>103</v>
      </c>
    </row>
    <row r="403" spans="1:10" ht="17.100000000000001" customHeight="1" x14ac:dyDescent="0.2">
      <c r="A403" s="3" t="s">
        <v>44</v>
      </c>
      <c r="B403" s="33">
        <v>1017</v>
      </c>
      <c r="C403" s="33">
        <v>439</v>
      </c>
      <c r="D403" s="33">
        <f t="shared" ref="D403:D410" si="35">C403/B403*1000</f>
        <v>431.66175024582105</v>
      </c>
      <c r="E403" s="33">
        <v>1644</v>
      </c>
      <c r="F403" s="33">
        <v>759</v>
      </c>
      <c r="G403" s="33">
        <f t="shared" ref="G403:G410" si="36">F403/E403*1000</f>
        <v>461.67883211678833</v>
      </c>
      <c r="H403" s="33">
        <v>1958</v>
      </c>
      <c r="I403" s="33">
        <v>855</v>
      </c>
      <c r="J403" s="33">
        <f t="shared" ref="J403:J410" si="37">I403/H403*1000</f>
        <v>436.67007150153222</v>
      </c>
    </row>
    <row r="404" spans="1:10" ht="17.100000000000001" customHeight="1" x14ac:dyDescent="0.2">
      <c r="A404" s="3" t="s">
        <v>80</v>
      </c>
      <c r="B404" s="33">
        <v>1045</v>
      </c>
      <c r="C404" s="33">
        <v>472</v>
      </c>
      <c r="D404" s="33">
        <f t="shared" si="35"/>
        <v>451.67464114832535</v>
      </c>
      <c r="E404" s="33">
        <v>1035</v>
      </c>
      <c r="F404" s="33">
        <v>463</v>
      </c>
      <c r="G404" s="33">
        <f t="shared" si="36"/>
        <v>447.34299516908209</v>
      </c>
      <c r="H404" s="33">
        <v>1030</v>
      </c>
      <c r="I404" s="33">
        <v>590</v>
      </c>
      <c r="J404" s="33">
        <f t="shared" si="37"/>
        <v>572.81553398058247</v>
      </c>
    </row>
    <row r="405" spans="1:10" ht="17.100000000000001" customHeight="1" x14ac:dyDescent="0.2">
      <c r="A405" s="3" t="s">
        <v>81</v>
      </c>
      <c r="B405" s="33">
        <v>825</v>
      </c>
      <c r="C405" s="33">
        <v>308</v>
      </c>
      <c r="D405" s="33">
        <f t="shared" si="35"/>
        <v>373.33333333333337</v>
      </c>
      <c r="E405" s="33">
        <v>817</v>
      </c>
      <c r="F405" s="33">
        <v>310</v>
      </c>
      <c r="G405" s="33">
        <f t="shared" si="36"/>
        <v>379.43696450428399</v>
      </c>
      <c r="H405" s="33">
        <v>822</v>
      </c>
      <c r="I405" s="33">
        <v>356</v>
      </c>
      <c r="J405" s="33">
        <f t="shared" si="37"/>
        <v>433.09002433090029</v>
      </c>
    </row>
    <row r="406" spans="1:10" ht="17.100000000000001" customHeight="1" x14ac:dyDescent="0.2">
      <c r="A406" s="3" t="s">
        <v>37</v>
      </c>
      <c r="B406" s="33">
        <v>168</v>
      </c>
      <c r="C406" s="33">
        <v>128</v>
      </c>
      <c r="D406" s="33">
        <f t="shared" si="35"/>
        <v>761.90476190476181</v>
      </c>
      <c r="E406" s="33">
        <v>334</v>
      </c>
      <c r="F406" s="33">
        <v>255</v>
      </c>
      <c r="G406" s="33">
        <f t="shared" si="36"/>
        <v>763.47305389221549</v>
      </c>
      <c r="H406" s="33">
        <v>334</v>
      </c>
      <c r="I406" s="33">
        <v>254</v>
      </c>
      <c r="J406" s="33">
        <f t="shared" si="37"/>
        <v>760.47904191616772</v>
      </c>
    </row>
    <row r="407" spans="1:10" ht="17.100000000000001" customHeight="1" x14ac:dyDescent="0.2">
      <c r="A407" s="3" t="s">
        <v>40</v>
      </c>
      <c r="B407" s="33">
        <v>351</v>
      </c>
      <c r="C407" s="33">
        <v>142</v>
      </c>
      <c r="D407" s="33">
        <f t="shared" si="35"/>
        <v>404.55840455840456</v>
      </c>
      <c r="E407" s="33">
        <v>337</v>
      </c>
      <c r="F407" s="33">
        <v>135</v>
      </c>
      <c r="G407" s="33">
        <f t="shared" si="36"/>
        <v>400.59347181008906</v>
      </c>
      <c r="H407" s="33">
        <v>337</v>
      </c>
      <c r="I407" s="33">
        <v>131</v>
      </c>
      <c r="J407" s="33">
        <f t="shared" si="37"/>
        <v>388.72403560830861</v>
      </c>
    </row>
    <row r="408" spans="1:10" ht="17.100000000000001" customHeight="1" x14ac:dyDescent="0.2">
      <c r="A408" s="3" t="s">
        <v>38</v>
      </c>
      <c r="B408" s="33">
        <v>150</v>
      </c>
      <c r="C408" s="33">
        <v>20</v>
      </c>
      <c r="D408" s="33">
        <f t="shared" si="35"/>
        <v>133.33333333333334</v>
      </c>
      <c r="E408" s="33">
        <v>174</v>
      </c>
      <c r="F408" s="33">
        <v>46</v>
      </c>
      <c r="G408" s="33">
        <f t="shared" si="36"/>
        <v>264.36781609195401</v>
      </c>
      <c r="H408" s="33">
        <v>181</v>
      </c>
      <c r="I408" s="33">
        <v>51</v>
      </c>
      <c r="J408" s="33">
        <f t="shared" si="37"/>
        <v>281.76795580110496</v>
      </c>
    </row>
    <row r="409" spans="1:10" ht="17.100000000000001" customHeight="1" x14ac:dyDescent="0.2">
      <c r="A409" s="3" t="s">
        <v>87</v>
      </c>
      <c r="B409" s="33">
        <v>210</v>
      </c>
      <c r="C409" s="33">
        <v>94</v>
      </c>
      <c r="D409" s="33">
        <f t="shared" si="35"/>
        <v>447.61904761904765</v>
      </c>
      <c r="E409" s="33">
        <v>228</v>
      </c>
      <c r="F409" s="33">
        <v>111</v>
      </c>
      <c r="G409" s="33">
        <f t="shared" si="36"/>
        <v>486.84210526315792</v>
      </c>
      <c r="H409" s="33">
        <v>230</v>
      </c>
      <c r="I409" s="33">
        <v>108</v>
      </c>
      <c r="J409" s="33">
        <f t="shared" si="37"/>
        <v>469.56521739130437</v>
      </c>
    </row>
    <row r="410" spans="1:10" ht="17.100000000000001" customHeight="1" x14ac:dyDescent="0.2">
      <c r="A410" s="3" t="s">
        <v>36</v>
      </c>
      <c r="B410" s="33">
        <f>142+9</f>
        <v>151</v>
      </c>
      <c r="C410" s="33">
        <f>100+4</f>
        <v>104</v>
      </c>
      <c r="D410" s="33">
        <f t="shared" si="35"/>
        <v>688.74172185430461</v>
      </c>
      <c r="E410" s="33">
        <v>397</v>
      </c>
      <c r="F410" s="33">
        <v>278</v>
      </c>
      <c r="G410" s="33">
        <f t="shared" si="36"/>
        <v>700.25188916876584</v>
      </c>
      <c r="H410" s="33">
        <v>351</v>
      </c>
      <c r="I410" s="33">
        <v>245</v>
      </c>
      <c r="J410" s="33">
        <f t="shared" si="37"/>
        <v>698.00569800569804</v>
      </c>
    </row>
    <row r="411" spans="1:10" ht="17.100000000000001" customHeight="1" x14ac:dyDescent="0.2">
      <c r="A411" s="3" t="s">
        <v>43</v>
      </c>
      <c r="B411" s="33" t="s">
        <v>103</v>
      </c>
      <c r="C411" s="33" t="s">
        <v>103</v>
      </c>
      <c r="D411" s="33" t="s">
        <v>103</v>
      </c>
      <c r="E411" s="33" t="s">
        <v>103</v>
      </c>
      <c r="F411" s="33" t="s">
        <v>103</v>
      </c>
      <c r="G411" s="33" t="s">
        <v>103</v>
      </c>
      <c r="H411" s="57" t="s">
        <v>103</v>
      </c>
      <c r="I411" s="57" t="s">
        <v>103</v>
      </c>
      <c r="J411" s="33" t="s">
        <v>103</v>
      </c>
    </row>
    <row r="412" spans="1:10" ht="17.100000000000001" customHeight="1" x14ac:dyDescent="0.2">
      <c r="A412" s="3" t="s">
        <v>88</v>
      </c>
      <c r="B412" s="33" t="s">
        <v>103</v>
      </c>
      <c r="C412" s="33" t="s">
        <v>103</v>
      </c>
      <c r="D412" s="33" t="s">
        <v>103</v>
      </c>
      <c r="E412" s="33" t="s">
        <v>103</v>
      </c>
      <c r="F412" s="33" t="s">
        <v>103</v>
      </c>
      <c r="G412" s="33" t="s">
        <v>103</v>
      </c>
      <c r="H412" s="33" t="s">
        <v>103</v>
      </c>
      <c r="I412" s="33" t="s">
        <v>103</v>
      </c>
      <c r="J412" s="33" t="s">
        <v>103</v>
      </c>
    </row>
    <row r="413" spans="1:10" ht="17.100000000000001" customHeight="1" x14ac:dyDescent="0.2">
      <c r="A413" s="3" t="s">
        <v>47</v>
      </c>
      <c r="B413" s="33">
        <v>47</v>
      </c>
      <c r="C413" s="33">
        <v>29</v>
      </c>
      <c r="D413" s="33">
        <f>C413/B413*1000</f>
        <v>617.02127659574467</v>
      </c>
      <c r="E413" s="33">
        <v>72</v>
      </c>
      <c r="F413" s="33">
        <v>46</v>
      </c>
      <c r="G413" s="33">
        <f>F413/E413*1000</f>
        <v>638.8888888888888</v>
      </c>
      <c r="H413" s="33">
        <v>82</v>
      </c>
      <c r="I413" s="33">
        <v>54</v>
      </c>
      <c r="J413" s="33">
        <f>I413/H413*1000</f>
        <v>658.53658536585374</v>
      </c>
    </row>
    <row r="414" spans="1:10" ht="17.100000000000001" customHeight="1" x14ac:dyDescent="0.2">
      <c r="A414" s="3" t="s">
        <v>52</v>
      </c>
      <c r="B414" s="33">
        <v>575</v>
      </c>
      <c r="C414" s="33">
        <v>310</v>
      </c>
      <c r="D414" s="33">
        <f>C414/B414*1000</f>
        <v>539.13043478260875</v>
      </c>
      <c r="E414" s="33">
        <v>556</v>
      </c>
      <c r="F414" s="33">
        <v>303</v>
      </c>
      <c r="G414" s="33">
        <f>F414/E414*1000</f>
        <v>544.96402877697847</v>
      </c>
      <c r="H414" s="33">
        <v>546</v>
      </c>
      <c r="I414" s="33">
        <v>289</v>
      </c>
      <c r="J414" s="33">
        <f>I414/H414*1000</f>
        <v>529.30402930402931</v>
      </c>
    </row>
    <row r="415" spans="1:10" ht="17.100000000000001" customHeight="1" x14ac:dyDescent="0.2">
      <c r="A415" s="3" t="s">
        <v>41</v>
      </c>
      <c r="B415" s="33">
        <v>127</v>
      </c>
      <c r="C415" s="33">
        <v>92</v>
      </c>
      <c r="D415" s="33">
        <f>C415/B415*1000</f>
        <v>724.40944881889766</v>
      </c>
      <c r="E415" s="33">
        <v>128</v>
      </c>
      <c r="F415" s="33">
        <v>93</v>
      </c>
      <c r="G415" s="33">
        <f>F415/E415*1000</f>
        <v>726.5625</v>
      </c>
      <c r="H415" s="33">
        <v>128</v>
      </c>
      <c r="I415" s="33">
        <v>89</v>
      </c>
      <c r="J415" s="33">
        <f>I415/H415*1000</f>
        <v>695.3125</v>
      </c>
    </row>
    <row r="416" spans="1:10" ht="17.100000000000001" customHeight="1" x14ac:dyDescent="0.2">
      <c r="A416" s="3" t="s">
        <v>34</v>
      </c>
      <c r="B416" s="33">
        <v>434</v>
      </c>
      <c r="C416" s="33">
        <v>245</v>
      </c>
      <c r="D416" s="33">
        <f>C416/B416*1000</f>
        <v>564.51612903225816</v>
      </c>
      <c r="E416" s="33">
        <v>426</v>
      </c>
      <c r="F416" s="33">
        <v>239</v>
      </c>
      <c r="G416" s="33">
        <f>F416/E416*1000</f>
        <v>561.03286384976525</v>
      </c>
      <c r="H416" s="33">
        <v>424</v>
      </c>
      <c r="I416" s="33">
        <v>237</v>
      </c>
      <c r="J416" s="33">
        <f>I416/H416*1000</f>
        <v>558.96226415094338</v>
      </c>
    </row>
    <row r="417" spans="1:10" ht="17.100000000000001" customHeight="1" x14ac:dyDescent="0.2">
      <c r="A417" s="3" t="s">
        <v>89</v>
      </c>
      <c r="B417" s="33">
        <v>350</v>
      </c>
      <c r="C417" s="33">
        <v>55</v>
      </c>
      <c r="D417" s="33">
        <f>C417/B417*1000</f>
        <v>157.14285714285714</v>
      </c>
      <c r="E417" s="33">
        <v>335</v>
      </c>
      <c r="F417" s="33">
        <v>59</v>
      </c>
      <c r="G417" s="33">
        <f>F417/E417*1000</f>
        <v>176.1194029850746</v>
      </c>
      <c r="H417" s="33">
        <v>338</v>
      </c>
      <c r="I417" s="33">
        <v>84</v>
      </c>
      <c r="J417" s="33">
        <f>I417/H417*1000</f>
        <v>248.52071005917159</v>
      </c>
    </row>
    <row r="418" spans="1:10" ht="17.100000000000001" customHeight="1" x14ac:dyDescent="0.2">
      <c r="A418" s="3" t="s">
        <v>91</v>
      </c>
      <c r="B418" s="33" t="s">
        <v>103</v>
      </c>
      <c r="C418" s="33" t="s">
        <v>103</v>
      </c>
      <c r="D418" s="33" t="s">
        <v>103</v>
      </c>
      <c r="E418" s="33" t="s">
        <v>103</v>
      </c>
      <c r="F418" s="33" t="s">
        <v>103</v>
      </c>
      <c r="G418" s="33" t="s">
        <v>103</v>
      </c>
      <c r="H418" s="33" t="s">
        <v>103</v>
      </c>
      <c r="I418" s="33" t="s">
        <v>103</v>
      </c>
      <c r="J418" s="33" t="s">
        <v>103</v>
      </c>
    </row>
    <row r="419" spans="1:10" ht="17.100000000000001" customHeight="1" x14ac:dyDescent="0.2">
      <c r="A419" s="3" t="s">
        <v>32</v>
      </c>
      <c r="B419" s="33">
        <v>31</v>
      </c>
      <c r="C419" s="33">
        <v>22</v>
      </c>
      <c r="D419" s="33">
        <f>C419/B419*1000</f>
        <v>709.67741935483878</v>
      </c>
      <c r="E419" s="33">
        <v>35</v>
      </c>
      <c r="F419" s="33">
        <v>24</v>
      </c>
      <c r="G419" s="33">
        <f>F419/E419*1000</f>
        <v>685.71428571428567</v>
      </c>
      <c r="H419" s="33">
        <v>27</v>
      </c>
      <c r="I419" s="33">
        <v>18</v>
      </c>
      <c r="J419" s="33">
        <f>I419/H419*1000</f>
        <v>666.66666666666663</v>
      </c>
    </row>
    <row r="420" spans="1:10" ht="17.100000000000001" customHeight="1" x14ac:dyDescent="0.2">
      <c r="A420" s="3" t="s">
        <v>90</v>
      </c>
      <c r="B420" s="33">
        <v>20</v>
      </c>
      <c r="C420" s="33">
        <v>19</v>
      </c>
      <c r="D420" s="33">
        <f>C420/B420*1000</f>
        <v>950</v>
      </c>
      <c r="E420" s="33">
        <v>290</v>
      </c>
      <c r="F420" s="33">
        <v>135</v>
      </c>
      <c r="G420" s="33">
        <f>F420/E420*1000</f>
        <v>465.51724137931035</v>
      </c>
      <c r="H420" s="33">
        <v>301</v>
      </c>
      <c r="I420" s="33">
        <v>136</v>
      </c>
      <c r="J420" s="33">
        <f>I420/H420*1000</f>
        <v>451.82724252491698</v>
      </c>
    </row>
    <row r="421" spans="1:10" ht="17.100000000000001" customHeight="1" x14ac:dyDescent="0.2">
      <c r="A421" s="3" t="s">
        <v>31</v>
      </c>
      <c r="B421" s="33">
        <f>28+100</f>
        <v>128</v>
      </c>
      <c r="C421" s="33">
        <f>39+66</f>
        <v>105</v>
      </c>
      <c r="D421" s="33">
        <f>C421/B421*1000</f>
        <v>820.3125</v>
      </c>
      <c r="E421" s="33">
        <f>26+55</f>
        <v>81</v>
      </c>
      <c r="F421" s="33">
        <v>70</v>
      </c>
      <c r="G421" s="33">
        <f>F421/E421*1000</f>
        <v>864.19753086419746</v>
      </c>
      <c r="H421" s="33">
        <v>81</v>
      </c>
      <c r="I421" s="33">
        <v>66</v>
      </c>
      <c r="J421" s="33">
        <f>I421/H421*1000</f>
        <v>814.81481481481478</v>
      </c>
    </row>
    <row r="422" spans="1:10" ht="17.100000000000001" customHeight="1" x14ac:dyDescent="0.2">
      <c r="A422" s="3" t="s">
        <v>92</v>
      </c>
      <c r="B422" s="33" t="s">
        <v>103</v>
      </c>
      <c r="C422" s="33" t="s">
        <v>103</v>
      </c>
      <c r="D422" s="33" t="s">
        <v>103</v>
      </c>
      <c r="E422" s="33" t="s">
        <v>103</v>
      </c>
      <c r="F422" s="33" t="s">
        <v>103</v>
      </c>
      <c r="G422" s="33" t="s">
        <v>103</v>
      </c>
      <c r="H422" s="33" t="s">
        <v>103</v>
      </c>
      <c r="I422" s="33" t="s">
        <v>103</v>
      </c>
      <c r="J422" s="33" t="s">
        <v>103</v>
      </c>
    </row>
    <row r="423" spans="1:10" ht="17.100000000000001" customHeight="1" x14ac:dyDescent="0.2">
      <c r="A423" s="3" t="s">
        <v>50</v>
      </c>
      <c r="B423" s="33" t="s">
        <v>103</v>
      </c>
      <c r="C423" s="33" t="s">
        <v>103</v>
      </c>
      <c r="D423" s="33" t="s">
        <v>103</v>
      </c>
      <c r="E423" s="33" t="s">
        <v>103</v>
      </c>
      <c r="F423" s="33" t="s">
        <v>103</v>
      </c>
      <c r="G423" s="33" t="s">
        <v>103</v>
      </c>
      <c r="H423" s="57" t="s">
        <v>103</v>
      </c>
      <c r="I423" s="57" t="s">
        <v>103</v>
      </c>
      <c r="J423" s="33" t="s">
        <v>103</v>
      </c>
    </row>
    <row r="424" spans="1:10" ht="17.100000000000001" customHeight="1" x14ac:dyDescent="0.2">
      <c r="A424" s="3" t="s">
        <v>35</v>
      </c>
      <c r="B424" s="33">
        <v>916</v>
      </c>
      <c r="C424" s="33">
        <v>717</v>
      </c>
      <c r="D424" s="33">
        <f>C424/B424*1000</f>
        <v>782.75109170305677</v>
      </c>
      <c r="E424" s="33">
        <v>1140</v>
      </c>
      <c r="F424" s="33">
        <v>922</v>
      </c>
      <c r="G424" s="33">
        <f>F424/E424*1000</f>
        <v>808.77192982456131</v>
      </c>
      <c r="H424" s="33">
        <v>1140</v>
      </c>
      <c r="I424" s="33">
        <v>840</v>
      </c>
      <c r="J424" s="33">
        <f>I424/H424*1000</f>
        <v>736.8421052631578</v>
      </c>
    </row>
    <row r="425" spans="1:10" ht="17.100000000000001" customHeight="1" x14ac:dyDescent="0.2">
      <c r="A425" s="3" t="s">
        <v>49</v>
      </c>
      <c r="B425" s="33">
        <v>470</v>
      </c>
      <c r="C425" s="33">
        <v>234</v>
      </c>
      <c r="D425" s="33">
        <f>C425/B425*1000</f>
        <v>497.87234042553189</v>
      </c>
      <c r="E425" s="33">
        <v>218</v>
      </c>
      <c r="F425" s="33">
        <v>122</v>
      </c>
      <c r="G425" s="33">
        <f>F425/E425*1000</f>
        <v>559.63302752293578</v>
      </c>
      <c r="H425" s="33">
        <v>165</v>
      </c>
      <c r="I425" s="33">
        <v>69</v>
      </c>
      <c r="J425" s="33">
        <f>I425/H425*1000</f>
        <v>418.18181818181813</v>
      </c>
    </row>
    <row r="426" spans="1:10" ht="17.100000000000001" customHeight="1" x14ac:dyDescent="0.2">
      <c r="A426" s="3" t="s">
        <v>45</v>
      </c>
      <c r="B426" s="33">
        <v>383</v>
      </c>
      <c r="C426" s="33">
        <v>176</v>
      </c>
      <c r="D426" s="33">
        <f>C426/B426*1000</f>
        <v>459.53002610966058</v>
      </c>
      <c r="E426" s="33">
        <v>47</v>
      </c>
      <c r="F426" s="33">
        <v>26</v>
      </c>
      <c r="G426" s="33">
        <f>F426/E426*1000</f>
        <v>553.19148936170211</v>
      </c>
      <c r="H426" s="33">
        <v>601</v>
      </c>
      <c r="I426" s="33">
        <v>564</v>
      </c>
      <c r="J426" s="33">
        <f>I426/H426*1000</f>
        <v>938.43594009983372</v>
      </c>
    </row>
    <row r="427" spans="1:10" ht="17.100000000000001" customHeight="1" x14ac:dyDescent="0.2">
      <c r="A427" s="3" t="s">
        <v>79</v>
      </c>
      <c r="B427" s="33" t="s">
        <v>103</v>
      </c>
      <c r="C427" s="33" t="s">
        <v>103</v>
      </c>
      <c r="D427" s="33" t="s">
        <v>103</v>
      </c>
      <c r="E427" s="33" t="s">
        <v>103</v>
      </c>
      <c r="F427" s="33" t="s">
        <v>103</v>
      </c>
      <c r="G427" s="33" t="s">
        <v>103</v>
      </c>
      <c r="H427" s="33" t="s">
        <v>103</v>
      </c>
      <c r="I427" s="33" t="s">
        <v>103</v>
      </c>
      <c r="J427" s="33" t="s">
        <v>103</v>
      </c>
    </row>
    <row r="429" spans="1:10" s="8" customFormat="1" ht="12" x14ac:dyDescent="0.2">
      <c r="J429" s="53" t="s">
        <v>99</v>
      </c>
    </row>
  </sheetData>
  <sortState ref="A396:J427">
    <sortCondition ref="A396:A427"/>
  </sortState>
  <mergeCells count="56">
    <mergeCell ref="A276:A277"/>
    <mergeCell ref="E276:G276"/>
    <mergeCell ref="B276:D276"/>
    <mergeCell ref="H276:J276"/>
    <mergeCell ref="E81:G81"/>
    <mergeCell ref="H198:J198"/>
    <mergeCell ref="E198:G198"/>
    <mergeCell ref="A274:J274"/>
    <mergeCell ref="H237:J237"/>
    <mergeCell ref="E237:G237"/>
    <mergeCell ref="A120:A121"/>
    <mergeCell ref="E120:G120"/>
    <mergeCell ref="A118:J118"/>
    <mergeCell ref="B120:D120"/>
    <mergeCell ref="H120:J120"/>
    <mergeCell ref="A157:J157"/>
    <mergeCell ref="A393:A394"/>
    <mergeCell ref="H393:J393"/>
    <mergeCell ref="B393:D393"/>
    <mergeCell ref="E393:G393"/>
    <mergeCell ref="A391:J391"/>
    <mergeCell ref="A1:J1"/>
    <mergeCell ref="A40:J40"/>
    <mergeCell ref="A42:A43"/>
    <mergeCell ref="E42:G42"/>
    <mergeCell ref="B3:D3"/>
    <mergeCell ref="A3:A4"/>
    <mergeCell ref="E3:G3"/>
    <mergeCell ref="B42:D42"/>
    <mergeCell ref="H3:J3"/>
    <mergeCell ref="H42:J42"/>
    <mergeCell ref="A235:J235"/>
    <mergeCell ref="H81:J81"/>
    <mergeCell ref="A198:A199"/>
    <mergeCell ref="B198:D198"/>
    <mergeCell ref="A159:A160"/>
    <mergeCell ref="H159:J159"/>
    <mergeCell ref="B159:D159"/>
    <mergeCell ref="A81:A82"/>
    <mergeCell ref="B81:D81"/>
    <mergeCell ref="A237:A238"/>
    <mergeCell ref="A79:J79"/>
    <mergeCell ref="A351:J351"/>
    <mergeCell ref="A353:A354"/>
    <mergeCell ref="E159:G159"/>
    <mergeCell ref="A194:J194"/>
    <mergeCell ref="H353:J353"/>
    <mergeCell ref="E353:G353"/>
    <mergeCell ref="B353:D353"/>
    <mergeCell ref="A312:J312"/>
    <mergeCell ref="A314:A315"/>
    <mergeCell ref="H314:J314"/>
    <mergeCell ref="E314:G314"/>
    <mergeCell ref="B314:D314"/>
    <mergeCell ref="A196:J196"/>
    <mergeCell ref="B237:D237"/>
  </mergeCells>
  <phoneticPr fontId="0" type="noConversion"/>
  <printOptions horizontalCentered="1"/>
  <pageMargins left="0.59055118110236227" right="0.59055118110236227" top="0.98425196850393704" bottom="0.70866141732283472" header="0.51181102362204722" footer="0.51181102362204722"/>
  <pageSetup paperSize="9" firstPageNumber="17" orientation="portrait" r:id="rId1"/>
  <headerFooter alignWithMargins="0">
    <oddHeader>&amp;C&amp;P</oddHeader>
  </headerFooter>
  <rowBreaks count="10" manualBreakCount="10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1" max="16383" man="1"/>
    <brk id="350" max="16383" man="1"/>
    <brk id="3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56"/>
  <sheetViews>
    <sheetView view="pageBreakPreview" topLeftCell="A115" zoomScaleNormal="100" zoomScaleSheetLayoutView="100" workbookViewId="0">
      <selection activeCell="A236" sqref="A236"/>
    </sheetView>
  </sheetViews>
  <sheetFormatPr defaultRowHeight="12.75" x14ac:dyDescent="0.2"/>
  <cols>
    <col min="1" max="1" width="13.42578125" style="9" bestFit="1" customWidth="1"/>
    <col min="2" max="2" width="7.85546875" style="9" bestFit="1" customWidth="1"/>
    <col min="3" max="3" width="9.42578125" style="9" bestFit="1" customWidth="1"/>
    <col min="4" max="4" width="7.7109375" style="9" bestFit="1" customWidth="1"/>
    <col min="5" max="5" width="7.85546875" style="9" bestFit="1" customWidth="1"/>
    <col min="6" max="6" width="9.42578125" style="9" bestFit="1" customWidth="1"/>
    <col min="7" max="7" width="7.7109375" style="9" bestFit="1" customWidth="1"/>
    <col min="8" max="8" width="7.85546875" style="9" bestFit="1" customWidth="1"/>
    <col min="9" max="9" width="9.42578125" style="9" bestFit="1" customWidth="1"/>
    <col min="10" max="10" width="8.42578125" style="9" customWidth="1"/>
    <col min="11" max="16384" width="9.140625" style="9"/>
  </cols>
  <sheetData>
    <row r="1" spans="1:10" ht="60" customHeight="1" x14ac:dyDescent="0.2">
      <c r="A1" s="77" t="s">
        <v>110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8" customFormat="1" ht="12" x14ac:dyDescent="0.2">
      <c r="A2" s="8" t="s">
        <v>83</v>
      </c>
      <c r="C2" s="15"/>
      <c r="D2" s="15"/>
      <c r="E2" s="15"/>
      <c r="F2" s="15"/>
      <c r="G2" s="15"/>
      <c r="H2" s="15"/>
      <c r="I2" s="15"/>
      <c r="J2" s="15"/>
    </row>
    <row r="3" spans="1:10" ht="21" customHeight="1" x14ac:dyDescent="0.2">
      <c r="A3" s="72" t="s">
        <v>30</v>
      </c>
      <c r="B3" s="72" t="s">
        <v>86</v>
      </c>
      <c r="C3" s="72"/>
      <c r="D3" s="72"/>
      <c r="E3" s="72" t="s">
        <v>95</v>
      </c>
      <c r="F3" s="72"/>
      <c r="G3" s="72"/>
      <c r="H3" s="72" t="s">
        <v>102</v>
      </c>
      <c r="I3" s="72"/>
      <c r="J3" s="72"/>
    </row>
    <row r="4" spans="1:10" ht="39.950000000000003" customHeight="1" x14ac:dyDescent="0.2">
      <c r="A4" s="72"/>
      <c r="B4" s="63" t="s">
        <v>98</v>
      </c>
      <c r="C4" s="63" t="s">
        <v>96</v>
      </c>
      <c r="D4" s="63" t="s">
        <v>97</v>
      </c>
      <c r="E4" s="63" t="s">
        <v>98</v>
      </c>
      <c r="F4" s="63" t="s">
        <v>96</v>
      </c>
      <c r="G4" s="63" t="s">
        <v>97</v>
      </c>
      <c r="H4" s="63" t="s">
        <v>98</v>
      </c>
      <c r="I4" s="63" t="s">
        <v>96</v>
      </c>
      <c r="J4" s="63" t="s">
        <v>97</v>
      </c>
    </row>
    <row r="5" spans="1:10" ht="25.5" x14ac:dyDescent="0.2">
      <c r="A5" s="6" t="s">
        <v>68</v>
      </c>
      <c r="B5" s="55">
        <f t="shared" ref="B5:C5" si="0">SUM(B6:B37)</f>
        <v>16811</v>
      </c>
      <c r="C5" s="55">
        <f t="shared" si="0"/>
        <v>194114</v>
      </c>
      <c r="D5" s="55">
        <f t="shared" ref="D5" si="1">C5/B5*1000</f>
        <v>11546.844328118494</v>
      </c>
      <c r="E5" s="55">
        <f t="shared" ref="E5:F5" si="2">SUM(E6:E37)</f>
        <v>15524</v>
      </c>
      <c r="F5" s="55">
        <f t="shared" si="2"/>
        <v>183825</v>
      </c>
      <c r="G5" s="55">
        <f t="shared" ref="G5:G17" si="3">F5/E5*1000</f>
        <v>11841.342437516105</v>
      </c>
      <c r="H5" s="55">
        <f>SUM(H6:H37)</f>
        <v>14337</v>
      </c>
      <c r="I5" s="55">
        <f>SUM(I6:I37)</f>
        <v>160677</v>
      </c>
      <c r="J5" s="55">
        <f t="shared" ref="J5" si="4">I5/H5*1000</f>
        <v>11207.156308851225</v>
      </c>
    </row>
    <row r="6" spans="1:10" s="61" customFormat="1" ht="17.100000000000001" customHeight="1" x14ac:dyDescent="0.2">
      <c r="A6" s="3" t="s">
        <v>39</v>
      </c>
      <c r="B6" s="21">
        <v>26</v>
      </c>
      <c r="C6" s="21">
        <v>363</v>
      </c>
      <c r="D6" s="21">
        <f t="shared" ref="D6:D36" si="5">C6/B6*1000</f>
        <v>13961.538461538461</v>
      </c>
      <c r="E6" s="21">
        <v>27</v>
      </c>
      <c r="F6" s="21">
        <v>373</v>
      </c>
      <c r="G6" s="21">
        <f t="shared" si="3"/>
        <v>13814.814814814816</v>
      </c>
      <c r="H6" s="21">
        <v>25</v>
      </c>
      <c r="I6" s="21">
        <v>348</v>
      </c>
      <c r="J6" s="21">
        <f t="shared" ref="J6:J17" si="6">I6/H6*1000</f>
        <v>13920</v>
      </c>
    </row>
    <row r="7" spans="1:10" s="61" customFormat="1" ht="17.100000000000001" customHeight="1" x14ac:dyDescent="0.2">
      <c r="A7" s="3" t="s">
        <v>94</v>
      </c>
      <c r="B7" s="21">
        <v>1190</v>
      </c>
      <c r="C7" s="21">
        <v>11011</v>
      </c>
      <c r="D7" s="21">
        <f t="shared" si="5"/>
        <v>9252.9411764705892</v>
      </c>
      <c r="E7" s="21">
        <v>1184</v>
      </c>
      <c r="F7" s="21">
        <v>10765</v>
      </c>
      <c r="G7" s="21">
        <f t="shared" si="3"/>
        <v>9092.0608108108099</v>
      </c>
      <c r="H7" s="21">
        <v>1194</v>
      </c>
      <c r="I7" s="21">
        <v>10616</v>
      </c>
      <c r="J7" s="21">
        <f t="shared" si="6"/>
        <v>8891.1222780569515</v>
      </c>
    </row>
    <row r="8" spans="1:10" s="61" customFormat="1" ht="17.100000000000001" customHeight="1" x14ac:dyDescent="0.2">
      <c r="A8" s="3" t="s">
        <v>46</v>
      </c>
      <c r="B8" s="21">
        <f>189+29</f>
        <v>218</v>
      </c>
      <c r="C8" s="21">
        <f>1978+190</f>
        <v>2168</v>
      </c>
      <c r="D8" s="21">
        <f t="shared" si="5"/>
        <v>9944.9541284403676</v>
      </c>
      <c r="E8" s="21">
        <f>202+30</f>
        <v>232</v>
      </c>
      <c r="F8" s="21">
        <f>2181+191</f>
        <v>2372</v>
      </c>
      <c r="G8" s="21">
        <f t="shared" si="3"/>
        <v>10224.137931034482</v>
      </c>
      <c r="H8" s="21">
        <v>208</v>
      </c>
      <c r="I8" s="21">
        <v>2050</v>
      </c>
      <c r="J8" s="21">
        <f t="shared" si="6"/>
        <v>9855.7692307692305</v>
      </c>
    </row>
    <row r="9" spans="1:10" s="61" customFormat="1" ht="17.100000000000001" customHeight="1" x14ac:dyDescent="0.2">
      <c r="A9" s="3" t="s">
        <v>42</v>
      </c>
      <c r="B9" s="21">
        <v>6</v>
      </c>
      <c r="C9" s="21">
        <v>54</v>
      </c>
      <c r="D9" s="21">
        <f t="shared" si="5"/>
        <v>9000</v>
      </c>
      <c r="E9" s="21">
        <v>7</v>
      </c>
      <c r="F9" s="21">
        <v>63</v>
      </c>
      <c r="G9" s="21">
        <f t="shared" si="3"/>
        <v>9000</v>
      </c>
      <c r="H9" s="21">
        <v>27</v>
      </c>
      <c r="I9" s="21">
        <v>227</v>
      </c>
      <c r="J9" s="21">
        <f t="shared" si="6"/>
        <v>8407.4074074074069</v>
      </c>
    </row>
    <row r="10" spans="1:10" s="61" customFormat="1" ht="17.100000000000001" customHeight="1" x14ac:dyDescent="0.2">
      <c r="A10" s="3" t="s">
        <v>51</v>
      </c>
      <c r="B10" s="21">
        <v>430</v>
      </c>
      <c r="C10" s="21">
        <v>7208</v>
      </c>
      <c r="D10" s="21">
        <f t="shared" si="5"/>
        <v>16762.79069767442</v>
      </c>
      <c r="E10" s="21">
        <v>434</v>
      </c>
      <c r="F10" s="21">
        <v>7304</v>
      </c>
      <c r="G10" s="21">
        <f t="shared" si="3"/>
        <v>16829.493087557606</v>
      </c>
      <c r="H10" s="21">
        <v>442</v>
      </c>
      <c r="I10" s="21">
        <v>7406</v>
      </c>
      <c r="J10" s="21">
        <f t="shared" si="6"/>
        <v>16755.656108597286</v>
      </c>
    </row>
    <row r="11" spans="1:10" s="61" customFormat="1" ht="17.100000000000001" customHeight="1" x14ac:dyDescent="0.2">
      <c r="A11" s="3" t="s">
        <v>33</v>
      </c>
      <c r="B11" s="21">
        <v>1678</v>
      </c>
      <c r="C11" s="21">
        <v>15009</v>
      </c>
      <c r="D11" s="21">
        <f t="shared" si="5"/>
        <v>8944.5768772348038</v>
      </c>
      <c r="E11" s="21">
        <v>287</v>
      </c>
      <c r="F11" s="21">
        <v>2750</v>
      </c>
      <c r="G11" s="21">
        <f t="shared" si="3"/>
        <v>9581.8815331010446</v>
      </c>
      <c r="H11" s="21">
        <v>341</v>
      </c>
      <c r="I11" s="21">
        <v>3358</v>
      </c>
      <c r="J11" s="21">
        <f t="shared" si="6"/>
        <v>9847.5073313782996</v>
      </c>
    </row>
    <row r="12" spans="1:10" s="61" customFormat="1" ht="17.100000000000001" customHeight="1" x14ac:dyDescent="0.2">
      <c r="A12" s="3" t="s">
        <v>48</v>
      </c>
      <c r="B12" s="21">
        <v>1549</v>
      </c>
      <c r="C12" s="21">
        <v>12653</v>
      </c>
      <c r="D12" s="21">
        <f t="shared" si="5"/>
        <v>8168.4958037443512</v>
      </c>
      <c r="E12" s="21">
        <v>1555</v>
      </c>
      <c r="F12" s="21">
        <v>12681</v>
      </c>
      <c r="G12" s="21">
        <f t="shared" si="3"/>
        <v>8154.9839228295814</v>
      </c>
      <c r="H12" s="21">
        <v>1558</v>
      </c>
      <c r="I12" s="21">
        <v>12696</v>
      </c>
      <c r="J12" s="21">
        <f t="shared" si="6"/>
        <v>8148.9088575096284</v>
      </c>
    </row>
    <row r="13" spans="1:10" s="61" customFormat="1" ht="17.100000000000001" customHeight="1" x14ac:dyDescent="0.2">
      <c r="A13" s="3" t="s">
        <v>44</v>
      </c>
      <c r="B13" s="21">
        <f>893+140</f>
        <v>1033</v>
      </c>
      <c r="C13" s="21">
        <f>13303+918</f>
        <v>14221</v>
      </c>
      <c r="D13" s="21">
        <f t="shared" si="5"/>
        <v>13766.698935140368</v>
      </c>
      <c r="E13" s="21">
        <f>898+145</f>
        <v>1043</v>
      </c>
      <c r="F13" s="21">
        <f>13422+952</f>
        <v>14374</v>
      </c>
      <c r="G13" s="21">
        <f t="shared" si="3"/>
        <v>13781.399808245445</v>
      </c>
      <c r="H13" s="21">
        <v>301</v>
      </c>
      <c r="I13" s="21">
        <v>3440</v>
      </c>
      <c r="J13" s="21">
        <f t="shared" si="6"/>
        <v>11428.571428571429</v>
      </c>
    </row>
    <row r="14" spans="1:10" s="61" customFormat="1" ht="17.100000000000001" customHeight="1" x14ac:dyDescent="0.2">
      <c r="A14" s="3" t="s">
        <v>80</v>
      </c>
      <c r="B14" s="21">
        <v>273</v>
      </c>
      <c r="C14" s="21">
        <v>3026</v>
      </c>
      <c r="D14" s="21">
        <f t="shared" si="5"/>
        <v>11084.249084249084</v>
      </c>
      <c r="E14" s="21">
        <v>268</v>
      </c>
      <c r="F14" s="21">
        <v>2948</v>
      </c>
      <c r="G14" s="21">
        <f t="shared" si="3"/>
        <v>11000</v>
      </c>
      <c r="H14" s="21">
        <v>274</v>
      </c>
      <c r="I14" s="21">
        <v>2826</v>
      </c>
      <c r="J14" s="21">
        <f t="shared" si="6"/>
        <v>10313.868613138686</v>
      </c>
    </row>
    <row r="15" spans="1:10" s="61" customFormat="1" ht="17.100000000000001" customHeight="1" x14ac:dyDescent="0.2">
      <c r="A15" s="3" t="s">
        <v>81</v>
      </c>
      <c r="B15" s="21">
        <v>243</v>
      </c>
      <c r="C15" s="21">
        <v>3263</v>
      </c>
      <c r="D15" s="21">
        <f t="shared" si="5"/>
        <v>13427.98353909465</v>
      </c>
      <c r="E15" s="21">
        <v>244</v>
      </c>
      <c r="F15" s="21">
        <v>4574</v>
      </c>
      <c r="G15" s="21">
        <f t="shared" si="3"/>
        <v>18745.901639344262</v>
      </c>
      <c r="H15" s="21">
        <v>252</v>
      </c>
      <c r="I15" s="21">
        <v>4656</v>
      </c>
      <c r="J15" s="21">
        <f t="shared" si="6"/>
        <v>18476.190476190473</v>
      </c>
    </row>
    <row r="16" spans="1:10" s="61" customFormat="1" ht="17.100000000000001" customHeight="1" x14ac:dyDescent="0.2">
      <c r="A16" s="3" t="s">
        <v>37</v>
      </c>
      <c r="B16" s="21">
        <v>64</v>
      </c>
      <c r="C16" s="21">
        <v>775</v>
      </c>
      <c r="D16" s="21">
        <f t="shared" si="5"/>
        <v>12109.375</v>
      </c>
      <c r="E16" s="21">
        <v>70</v>
      </c>
      <c r="F16" s="21">
        <v>848</v>
      </c>
      <c r="G16" s="21">
        <f t="shared" si="3"/>
        <v>12114.285714285714</v>
      </c>
      <c r="H16" s="21">
        <v>31</v>
      </c>
      <c r="I16" s="21">
        <v>371</v>
      </c>
      <c r="J16" s="21">
        <f t="shared" si="6"/>
        <v>11967.741935483869</v>
      </c>
    </row>
    <row r="17" spans="1:10" s="61" customFormat="1" ht="17.100000000000001" customHeight="1" x14ac:dyDescent="0.2">
      <c r="A17" s="3" t="s">
        <v>40</v>
      </c>
      <c r="B17" s="21">
        <v>119</v>
      </c>
      <c r="C17" s="21">
        <v>2163</v>
      </c>
      <c r="D17" s="21">
        <f t="shared" si="5"/>
        <v>18176.470588235294</v>
      </c>
      <c r="E17" s="21">
        <v>125</v>
      </c>
      <c r="F17" s="21">
        <v>2297</v>
      </c>
      <c r="G17" s="21">
        <f t="shared" si="3"/>
        <v>18376</v>
      </c>
      <c r="H17" s="21">
        <v>125</v>
      </c>
      <c r="I17" s="21">
        <v>2234</v>
      </c>
      <c r="J17" s="21">
        <f t="shared" si="6"/>
        <v>17872</v>
      </c>
    </row>
    <row r="18" spans="1:10" s="61" customFormat="1" ht="17.100000000000001" customHeight="1" x14ac:dyDescent="0.2">
      <c r="A18" s="3" t="s">
        <v>38</v>
      </c>
      <c r="B18" s="21">
        <v>8</v>
      </c>
      <c r="C18" s="21">
        <v>20</v>
      </c>
      <c r="D18" s="21">
        <f t="shared" si="5"/>
        <v>2500</v>
      </c>
      <c r="E18" s="21" t="s">
        <v>103</v>
      </c>
      <c r="F18" s="21" t="s">
        <v>103</v>
      </c>
      <c r="G18" s="21" t="s">
        <v>103</v>
      </c>
      <c r="H18" s="21" t="s">
        <v>103</v>
      </c>
      <c r="I18" s="21" t="s">
        <v>103</v>
      </c>
      <c r="J18" s="21" t="s">
        <v>103</v>
      </c>
    </row>
    <row r="19" spans="1:10" s="61" customFormat="1" ht="17.100000000000001" customHeight="1" x14ac:dyDescent="0.2">
      <c r="A19" s="3" t="s">
        <v>87</v>
      </c>
      <c r="B19" s="21">
        <v>198</v>
      </c>
      <c r="C19" s="21">
        <v>1290</v>
      </c>
      <c r="D19" s="21">
        <f t="shared" si="5"/>
        <v>6515.1515151515159</v>
      </c>
      <c r="E19" s="21">
        <v>218</v>
      </c>
      <c r="F19" s="21">
        <v>1424</v>
      </c>
      <c r="G19" s="21">
        <f t="shared" ref="G19:G36" si="7">F19/E19*1000</f>
        <v>6532.1100917431195</v>
      </c>
      <c r="H19" s="21">
        <v>222</v>
      </c>
      <c r="I19" s="21">
        <v>1423</v>
      </c>
      <c r="J19" s="21">
        <f>I19/H19*1000</f>
        <v>6409.9099099099103</v>
      </c>
    </row>
    <row r="20" spans="1:10" s="61" customFormat="1" ht="17.100000000000001" customHeight="1" x14ac:dyDescent="0.2">
      <c r="A20" s="3" t="s">
        <v>36</v>
      </c>
      <c r="B20" s="21">
        <f>251+8</f>
        <v>259</v>
      </c>
      <c r="C20" s="21">
        <f>1025+53</f>
        <v>1078</v>
      </c>
      <c r="D20" s="21">
        <f t="shared" si="5"/>
        <v>4162.1621621621625</v>
      </c>
      <c r="E20" s="21">
        <f>145+11</f>
        <v>156</v>
      </c>
      <c r="F20" s="21">
        <f>592+72</f>
        <v>664</v>
      </c>
      <c r="G20" s="21">
        <f t="shared" si="7"/>
        <v>4256.4102564102568</v>
      </c>
      <c r="H20" s="21">
        <v>120</v>
      </c>
      <c r="I20" s="21">
        <v>517</v>
      </c>
      <c r="J20" s="21">
        <f>I20/H20*1000</f>
        <v>4308.3333333333339</v>
      </c>
    </row>
    <row r="21" spans="1:10" s="61" customFormat="1" ht="17.100000000000001" customHeight="1" x14ac:dyDescent="0.2">
      <c r="A21" s="3" t="s">
        <v>43</v>
      </c>
      <c r="B21" s="21">
        <v>60</v>
      </c>
      <c r="C21" s="21">
        <v>749</v>
      </c>
      <c r="D21" s="21">
        <f t="shared" si="5"/>
        <v>12483.333333333332</v>
      </c>
      <c r="E21" s="21">
        <v>63</v>
      </c>
      <c r="F21" s="21">
        <v>786</v>
      </c>
      <c r="G21" s="21">
        <f t="shared" si="7"/>
        <v>12476.190476190477</v>
      </c>
      <c r="H21" s="21" t="s">
        <v>103</v>
      </c>
      <c r="I21" s="21" t="s">
        <v>103</v>
      </c>
      <c r="J21" s="21" t="s">
        <v>103</v>
      </c>
    </row>
    <row r="22" spans="1:10" s="61" customFormat="1" ht="17.100000000000001" customHeight="1" x14ac:dyDescent="0.2">
      <c r="A22" s="3" t="s">
        <v>88</v>
      </c>
      <c r="B22" s="21">
        <v>650</v>
      </c>
      <c r="C22" s="21">
        <v>5745</v>
      </c>
      <c r="D22" s="21">
        <f t="shared" si="5"/>
        <v>8838.461538461539</v>
      </c>
      <c r="E22" s="21">
        <v>654</v>
      </c>
      <c r="F22" s="21">
        <v>5809</v>
      </c>
      <c r="G22" s="21">
        <f t="shared" si="7"/>
        <v>8882.2629969418958</v>
      </c>
      <c r="H22" s="21">
        <v>651</v>
      </c>
      <c r="I22" s="21">
        <v>5692</v>
      </c>
      <c r="J22" s="21">
        <f t="shared" ref="J22:J35" si="8">I22/H22*1000</f>
        <v>8743.4715821812588</v>
      </c>
    </row>
    <row r="23" spans="1:10" s="61" customFormat="1" ht="17.100000000000001" customHeight="1" x14ac:dyDescent="0.2">
      <c r="A23" s="3" t="s">
        <v>47</v>
      </c>
      <c r="B23" s="21">
        <v>133</v>
      </c>
      <c r="C23" s="21">
        <v>1363</v>
      </c>
      <c r="D23" s="21">
        <f t="shared" si="5"/>
        <v>10248.12030075188</v>
      </c>
      <c r="E23" s="21">
        <v>138</v>
      </c>
      <c r="F23" s="21">
        <v>1548</v>
      </c>
      <c r="G23" s="21">
        <f t="shared" si="7"/>
        <v>11217.391304347826</v>
      </c>
      <c r="H23" s="21">
        <v>131</v>
      </c>
      <c r="I23" s="21">
        <v>1458</v>
      </c>
      <c r="J23" s="21">
        <f t="shared" si="8"/>
        <v>11129.770992366412</v>
      </c>
    </row>
    <row r="24" spans="1:10" s="61" customFormat="1" ht="17.100000000000001" customHeight="1" x14ac:dyDescent="0.2">
      <c r="A24" s="3" t="s">
        <v>52</v>
      </c>
      <c r="B24" s="21">
        <v>1188</v>
      </c>
      <c r="C24" s="21">
        <v>12906</v>
      </c>
      <c r="D24" s="21">
        <f t="shared" si="5"/>
        <v>10863.636363636364</v>
      </c>
      <c r="E24" s="21">
        <v>1193</v>
      </c>
      <c r="F24" s="21">
        <v>12915</v>
      </c>
      <c r="G24" s="21">
        <f t="shared" si="7"/>
        <v>10825.649622799665</v>
      </c>
      <c r="H24" s="21">
        <v>1192</v>
      </c>
      <c r="I24" s="21">
        <v>12860</v>
      </c>
      <c r="J24" s="21">
        <f t="shared" si="8"/>
        <v>10788.590604026846</v>
      </c>
    </row>
    <row r="25" spans="1:10" s="61" customFormat="1" ht="17.100000000000001" customHeight="1" x14ac:dyDescent="0.2">
      <c r="A25" s="3" t="s">
        <v>41</v>
      </c>
      <c r="B25" s="21">
        <v>704</v>
      </c>
      <c r="C25" s="21">
        <v>16226</v>
      </c>
      <c r="D25" s="21">
        <f t="shared" si="5"/>
        <v>23048.295454545452</v>
      </c>
      <c r="E25" s="21">
        <v>710</v>
      </c>
      <c r="F25" s="21">
        <v>16362</v>
      </c>
      <c r="G25" s="21">
        <f t="shared" si="7"/>
        <v>23045.070422535213</v>
      </c>
      <c r="H25" s="21">
        <v>1075</v>
      </c>
      <c r="I25" s="21">
        <v>18311</v>
      </c>
      <c r="J25" s="21">
        <f t="shared" si="8"/>
        <v>17033.488372093027</v>
      </c>
    </row>
    <row r="26" spans="1:10" s="61" customFormat="1" ht="17.100000000000001" customHeight="1" x14ac:dyDescent="0.2">
      <c r="A26" s="3" t="s">
        <v>34</v>
      </c>
      <c r="B26" s="21">
        <v>1154</v>
      </c>
      <c r="C26" s="21">
        <v>16838</v>
      </c>
      <c r="D26" s="21">
        <f t="shared" si="5"/>
        <v>14590.987868284228</v>
      </c>
      <c r="E26" s="21">
        <v>1111</v>
      </c>
      <c r="F26" s="21">
        <v>16322</v>
      </c>
      <c r="G26" s="21">
        <f t="shared" si="7"/>
        <v>14691.269126912692</v>
      </c>
      <c r="H26" s="21">
        <v>1111</v>
      </c>
      <c r="I26" s="21">
        <v>16322</v>
      </c>
      <c r="J26" s="21">
        <f t="shared" si="8"/>
        <v>14691.269126912692</v>
      </c>
    </row>
    <row r="27" spans="1:10" s="61" customFormat="1" ht="17.100000000000001" customHeight="1" x14ac:dyDescent="0.2">
      <c r="A27" s="3" t="s">
        <v>89</v>
      </c>
      <c r="B27" s="21">
        <v>273</v>
      </c>
      <c r="C27" s="21">
        <v>1775</v>
      </c>
      <c r="D27" s="21">
        <f t="shared" si="5"/>
        <v>6501.8315018315016</v>
      </c>
      <c r="E27" s="21">
        <v>284</v>
      </c>
      <c r="F27" s="21">
        <v>1839</v>
      </c>
      <c r="G27" s="21">
        <f t="shared" si="7"/>
        <v>6475.3521126760561</v>
      </c>
      <c r="H27" s="21">
        <v>282</v>
      </c>
      <c r="I27" s="21">
        <v>1798</v>
      </c>
      <c r="J27" s="21">
        <f t="shared" si="8"/>
        <v>6375.8865248226948</v>
      </c>
    </row>
    <row r="28" spans="1:10" s="61" customFormat="1" ht="17.100000000000001" customHeight="1" x14ac:dyDescent="0.2">
      <c r="A28" s="3" t="s">
        <v>91</v>
      </c>
      <c r="B28" s="21">
        <v>280</v>
      </c>
      <c r="C28" s="21">
        <v>1672</v>
      </c>
      <c r="D28" s="21">
        <f t="shared" si="5"/>
        <v>5971.4285714285716</v>
      </c>
      <c r="E28" s="21">
        <v>302</v>
      </c>
      <c r="F28" s="21">
        <v>1813</v>
      </c>
      <c r="G28" s="21">
        <f t="shared" si="7"/>
        <v>6003.3112582781459</v>
      </c>
      <c r="H28" s="21">
        <v>311</v>
      </c>
      <c r="I28" s="21">
        <v>1830</v>
      </c>
      <c r="J28" s="21">
        <f t="shared" si="8"/>
        <v>5884.2443729903543</v>
      </c>
    </row>
    <row r="29" spans="1:10" s="61" customFormat="1" ht="17.100000000000001" customHeight="1" x14ac:dyDescent="0.2">
      <c r="A29" s="3" t="s">
        <v>32</v>
      </c>
      <c r="B29" s="21">
        <v>506</v>
      </c>
      <c r="C29" s="21">
        <v>6081</v>
      </c>
      <c r="D29" s="21">
        <f t="shared" si="5"/>
        <v>12017.786561264822</v>
      </c>
      <c r="E29" s="21">
        <v>667</v>
      </c>
      <c r="F29" s="21">
        <v>7275</v>
      </c>
      <c r="G29" s="21">
        <f t="shared" si="7"/>
        <v>10907.046476761619</v>
      </c>
      <c r="H29" s="21">
        <v>667</v>
      </c>
      <c r="I29" s="21">
        <v>7203</v>
      </c>
      <c r="J29" s="21">
        <f t="shared" si="8"/>
        <v>10799.100449775113</v>
      </c>
    </row>
    <row r="30" spans="1:10" s="61" customFormat="1" ht="17.100000000000001" customHeight="1" x14ac:dyDescent="0.2">
      <c r="A30" s="3" t="s">
        <v>90</v>
      </c>
      <c r="B30" s="21">
        <v>20</v>
      </c>
      <c r="C30" s="21">
        <v>165</v>
      </c>
      <c r="D30" s="21">
        <f t="shared" si="5"/>
        <v>8250</v>
      </c>
      <c r="E30" s="21">
        <v>26</v>
      </c>
      <c r="F30" s="21">
        <v>214</v>
      </c>
      <c r="G30" s="21">
        <f t="shared" si="7"/>
        <v>8230.7692307692305</v>
      </c>
      <c r="H30" s="21">
        <v>29</v>
      </c>
      <c r="I30" s="21">
        <v>230</v>
      </c>
      <c r="J30" s="21">
        <f t="shared" si="8"/>
        <v>7931.0344827586214</v>
      </c>
    </row>
    <row r="31" spans="1:10" s="61" customFormat="1" ht="17.100000000000001" customHeight="1" x14ac:dyDescent="0.2">
      <c r="A31" s="3" t="s">
        <v>31</v>
      </c>
      <c r="B31" s="21">
        <f>594+58</f>
        <v>652</v>
      </c>
      <c r="C31" s="21">
        <f>11156+405</f>
        <v>11561</v>
      </c>
      <c r="D31" s="21">
        <f t="shared" si="5"/>
        <v>17731.595092024541</v>
      </c>
      <c r="E31" s="21">
        <f>583+65</f>
        <v>648</v>
      </c>
      <c r="F31" s="21">
        <f>10910+453</f>
        <v>11363</v>
      </c>
      <c r="G31" s="21">
        <f t="shared" si="7"/>
        <v>17535.493827160495</v>
      </c>
      <c r="H31" s="21">
        <v>641</v>
      </c>
      <c r="I31" s="21">
        <v>11283</v>
      </c>
      <c r="J31" s="21">
        <f t="shared" si="8"/>
        <v>17602.184087363494</v>
      </c>
    </row>
    <row r="32" spans="1:10" s="61" customFormat="1" ht="17.100000000000001" customHeight="1" x14ac:dyDescent="0.2">
      <c r="A32" s="3" t="s">
        <v>92</v>
      </c>
      <c r="B32" s="21">
        <v>125</v>
      </c>
      <c r="C32" s="21">
        <v>780</v>
      </c>
      <c r="D32" s="21">
        <f t="shared" si="5"/>
        <v>6240</v>
      </c>
      <c r="E32" s="21">
        <v>133</v>
      </c>
      <c r="F32" s="21">
        <v>832</v>
      </c>
      <c r="G32" s="21">
        <f t="shared" si="7"/>
        <v>6255.6390977443607</v>
      </c>
      <c r="H32" s="21">
        <v>139</v>
      </c>
      <c r="I32" s="21">
        <v>830</v>
      </c>
      <c r="J32" s="21">
        <f t="shared" si="8"/>
        <v>5971.223021582734</v>
      </c>
    </row>
    <row r="33" spans="1:10" s="61" customFormat="1" ht="17.100000000000001" customHeight="1" x14ac:dyDescent="0.2">
      <c r="A33" s="3" t="s">
        <v>50</v>
      </c>
      <c r="B33" s="21">
        <v>15</v>
      </c>
      <c r="C33" s="21">
        <v>187</v>
      </c>
      <c r="D33" s="21">
        <f t="shared" si="5"/>
        <v>12466.666666666666</v>
      </c>
      <c r="E33" s="21">
        <v>16</v>
      </c>
      <c r="F33" s="21">
        <v>205</v>
      </c>
      <c r="G33" s="21">
        <f t="shared" si="7"/>
        <v>12812.5</v>
      </c>
      <c r="H33" s="21">
        <v>58</v>
      </c>
      <c r="I33" s="21">
        <v>695</v>
      </c>
      <c r="J33" s="21">
        <f t="shared" si="8"/>
        <v>11982.758620689654</v>
      </c>
    </row>
    <row r="34" spans="1:10" s="61" customFormat="1" ht="17.100000000000001" customHeight="1" x14ac:dyDescent="0.2">
      <c r="A34" s="3" t="s">
        <v>35</v>
      </c>
      <c r="B34" s="21">
        <v>814</v>
      </c>
      <c r="C34" s="21">
        <v>9903</v>
      </c>
      <c r="D34" s="21">
        <f t="shared" si="5"/>
        <v>12165.847665847667</v>
      </c>
      <c r="E34" s="21">
        <v>817</v>
      </c>
      <c r="F34" s="21">
        <v>9959</v>
      </c>
      <c r="G34" s="21">
        <f t="shared" si="7"/>
        <v>12189.718482252141</v>
      </c>
      <c r="H34" s="21">
        <v>817</v>
      </c>
      <c r="I34" s="21">
        <v>9257</v>
      </c>
      <c r="J34" s="21">
        <f t="shared" si="8"/>
        <v>11330.477356181151</v>
      </c>
    </row>
    <row r="35" spans="1:10" s="61" customFormat="1" ht="17.100000000000001" customHeight="1" x14ac:dyDescent="0.2">
      <c r="A35" s="3" t="s">
        <v>49</v>
      </c>
      <c r="B35" s="21">
        <v>2593</v>
      </c>
      <c r="C35" s="21">
        <v>29460</v>
      </c>
      <c r="D35" s="21">
        <f t="shared" si="5"/>
        <v>11361.357500964134</v>
      </c>
      <c r="E35" s="21">
        <v>2555</v>
      </c>
      <c r="F35" s="21">
        <v>28650</v>
      </c>
      <c r="G35" s="21">
        <f t="shared" si="7"/>
        <v>11213.3072407045</v>
      </c>
      <c r="H35" s="21">
        <v>2113</v>
      </c>
      <c r="I35" s="21">
        <v>20740</v>
      </c>
      <c r="J35" s="21">
        <f t="shared" si="8"/>
        <v>9815.4283009938481</v>
      </c>
    </row>
    <row r="36" spans="1:10" s="61" customFormat="1" ht="17.100000000000001" customHeight="1" x14ac:dyDescent="0.2">
      <c r="A36" s="3" t="s">
        <v>45</v>
      </c>
      <c r="B36" s="21">
        <v>350</v>
      </c>
      <c r="C36" s="21">
        <v>4401</v>
      </c>
      <c r="D36" s="21">
        <f t="shared" si="5"/>
        <v>12574.285714285716</v>
      </c>
      <c r="E36" s="21">
        <v>357</v>
      </c>
      <c r="F36" s="21">
        <v>4496</v>
      </c>
      <c r="G36" s="21">
        <f t="shared" si="7"/>
        <v>12593.837535014005</v>
      </c>
      <c r="H36" s="21" t="s">
        <v>103</v>
      </c>
      <c r="I36" s="21" t="s">
        <v>103</v>
      </c>
      <c r="J36" s="21" t="s">
        <v>103</v>
      </c>
    </row>
    <row r="37" spans="1:10" s="61" customFormat="1" ht="17.100000000000001" customHeight="1" x14ac:dyDescent="0.2">
      <c r="A37" s="3" t="s">
        <v>79</v>
      </c>
      <c r="B37" s="21" t="s">
        <v>103</v>
      </c>
      <c r="C37" s="21" t="s">
        <v>103</v>
      </c>
      <c r="D37" s="21" t="s">
        <v>103</v>
      </c>
      <c r="E37" s="21" t="s">
        <v>103</v>
      </c>
      <c r="F37" s="21" t="s">
        <v>103</v>
      </c>
      <c r="G37" s="21" t="s">
        <v>103</v>
      </c>
      <c r="H37" s="21" t="s">
        <v>103</v>
      </c>
      <c r="I37" s="21" t="s">
        <v>103</v>
      </c>
      <c r="J37" s="21" t="s">
        <v>103</v>
      </c>
    </row>
    <row r="38" spans="1:10" ht="5.25" customHeight="1" x14ac:dyDescent="0.2">
      <c r="B38" s="17"/>
      <c r="C38" s="17"/>
      <c r="E38" s="17"/>
      <c r="F38" s="17"/>
    </row>
    <row r="39" spans="1:10" s="8" customFormat="1" ht="10.5" customHeight="1" x14ac:dyDescent="0.2">
      <c r="J39" s="53" t="s">
        <v>99</v>
      </c>
    </row>
    <row r="40" spans="1:10" ht="60" customHeight="1" x14ac:dyDescent="0.2">
      <c r="A40" s="77" t="s">
        <v>111</v>
      </c>
      <c r="B40" s="77"/>
      <c r="C40" s="77"/>
      <c r="D40" s="77"/>
      <c r="E40" s="77"/>
      <c r="F40" s="77"/>
      <c r="G40" s="77"/>
      <c r="H40" s="77"/>
      <c r="I40" s="77"/>
      <c r="J40" s="77"/>
    </row>
    <row r="41" spans="1:10" s="8" customFormat="1" ht="12.75" customHeight="1" x14ac:dyDescent="0.2">
      <c r="A41" s="8" t="s">
        <v>84</v>
      </c>
      <c r="C41" s="15"/>
      <c r="D41" s="15"/>
      <c r="E41" s="15"/>
      <c r="F41" s="15"/>
      <c r="G41" s="15"/>
      <c r="H41" s="15"/>
      <c r="I41" s="15"/>
      <c r="J41" s="15"/>
    </row>
    <row r="42" spans="1:10" ht="20.100000000000001" customHeight="1" x14ac:dyDescent="0.2">
      <c r="A42" s="72" t="s">
        <v>30</v>
      </c>
      <c r="B42" s="72" t="s">
        <v>86</v>
      </c>
      <c r="C42" s="72"/>
      <c r="D42" s="72"/>
      <c r="E42" s="72" t="s">
        <v>95</v>
      </c>
      <c r="F42" s="72"/>
      <c r="G42" s="72"/>
      <c r="H42" s="72" t="s">
        <v>102</v>
      </c>
      <c r="I42" s="72"/>
      <c r="J42" s="72"/>
    </row>
    <row r="43" spans="1:10" ht="39.950000000000003" customHeight="1" x14ac:dyDescent="0.2">
      <c r="A43" s="72"/>
      <c r="B43" s="63" t="s">
        <v>98</v>
      </c>
      <c r="C43" s="63" t="s">
        <v>96</v>
      </c>
      <c r="D43" s="63" t="s">
        <v>97</v>
      </c>
      <c r="E43" s="63" t="s">
        <v>98</v>
      </c>
      <c r="F43" s="63" t="s">
        <v>96</v>
      </c>
      <c r="G43" s="63" t="s">
        <v>97</v>
      </c>
      <c r="H43" s="63" t="s">
        <v>98</v>
      </c>
      <c r="I43" s="63" t="s">
        <v>96</v>
      </c>
      <c r="J43" s="63" t="s">
        <v>97</v>
      </c>
    </row>
    <row r="44" spans="1:10" s="61" customFormat="1" ht="25.5" customHeight="1" x14ac:dyDescent="0.2">
      <c r="A44" s="6" t="s">
        <v>68</v>
      </c>
      <c r="B44" s="34">
        <f t="shared" ref="B44:C44" si="9">SUM(B45:B76)</f>
        <v>7908</v>
      </c>
      <c r="C44" s="34">
        <f t="shared" si="9"/>
        <v>62606</v>
      </c>
      <c r="D44" s="34">
        <f>C44/B44*1000</f>
        <v>7916.7931208902373</v>
      </c>
      <c r="E44" s="34">
        <f t="shared" ref="E44:F44" si="10">SUM(E45:E76)</f>
        <v>8869</v>
      </c>
      <c r="F44" s="34">
        <f t="shared" si="10"/>
        <v>72823</v>
      </c>
      <c r="G44" s="34">
        <f>F44/E44*1000</f>
        <v>8210.9595219303192</v>
      </c>
      <c r="H44" s="34">
        <f>SUM(H45:H76)</f>
        <v>8452</v>
      </c>
      <c r="I44" s="34">
        <f>SUM(I45:I76)</f>
        <v>66775</v>
      </c>
      <c r="J44" s="34">
        <f>I44/H44*1000</f>
        <v>7900.4969238050171</v>
      </c>
    </row>
    <row r="45" spans="1:10" s="61" customFormat="1" ht="16.7" customHeight="1" x14ac:dyDescent="0.2">
      <c r="A45" s="3" t="s">
        <v>39</v>
      </c>
      <c r="B45" s="35" t="s">
        <v>103</v>
      </c>
      <c r="C45" s="35" t="s">
        <v>103</v>
      </c>
      <c r="D45" s="35" t="s">
        <v>103</v>
      </c>
      <c r="E45" s="35" t="s">
        <v>103</v>
      </c>
      <c r="F45" s="35" t="s">
        <v>103</v>
      </c>
      <c r="G45" s="35" t="s">
        <v>103</v>
      </c>
      <c r="H45" s="35" t="s">
        <v>103</v>
      </c>
      <c r="I45" s="35" t="s">
        <v>103</v>
      </c>
      <c r="J45" s="35" t="s">
        <v>103</v>
      </c>
    </row>
    <row r="46" spans="1:10" s="61" customFormat="1" ht="16.7" customHeight="1" x14ac:dyDescent="0.2">
      <c r="A46" s="3" t="s">
        <v>94</v>
      </c>
      <c r="B46" s="35">
        <v>358</v>
      </c>
      <c r="C46" s="35">
        <v>2030</v>
      </c>
      <c r="D46" s="35">
        <f t="shared" ref="D46:D56" si="11">C46/B46*1000</f>
        <v>5670.3910614525139</v>
      </c>
      <c r="E46" s="35">
        <v>409</v>
      </c>
      <c r="F46" s="35">
        <v>2126</v>
      </c>
      <c r="G46" s="35">
        <f t="shared" ref="G46:G56" si="12">F46/E46*1000</f>
        <v>5198.044009779951</v>
      </c>
      <c r="H46" s="35">
        <v>414</v>
      </c>
      <c r="I46" s="35">
        <v>2075</v>
      </c>
      <c r="J46" s="35">
        <f t="shared" ref="J46:J56" si="13">I46/H46*1000</f>
        <v>5012.0772946859897</v>
      </c>
    </row>
    <row r="47" spans="1:10" s="61" customFormat="1" ht="16.7" customHeight="1" x14ac:dyDescent="0.2">
      <c r="A47" s="3" t="s">
        <v>46</v>
      </c>
      <c r="B47" s="35">
        <f>662+110</f>
        <v>772</v>
      </c>
      <c r="C47" s="35">
        <f>4370+800</f>
        <v>5170</v>
      </c>
      <c r="D47" s="35">
        <f t="shared" si="11"/>
        <v>6696.891191709844</v>
      </c>
      <c r="E47" s="35">
        <f>666+111</f>
        <v>777</v>
      </c>
      <c r="F47" s="35">
        <f>805+4406</f>
        <v>5211</v>
      </c>
      <c r="G47" s="35">
        <f t="shared" si="12"/>
        <v>6706.5637065637065</v>
      </c>
      <c r="H47" s="35">
        <v>783</v>
      </c>
      <c r="I47" s="35">
        <v>5222</v>
      </c>
      <c r="J47" s="35">
        <f t="shared" si="13"/>
        <v>6669.2209450830142</v>
      </c>
    </row>
    <row r="48" spans="1:10" s="61" customFormat="1" ht="16.7" customHeight="1" x14ac:dyDescent="0.2">
      <c r="A48" s="3" t="s">
        <v>42</v>
      </c>
      <c r="B48" s="35">
        <v>201</v>
      </c>
      <c r="C48" s="35">
        <v>1615</v>
      </c>
      <c r="D48" s="35">
        <f t="shared" si="11"/>
        <v>8034.8258706467668</v>
      </c>
      <c r="E48" s="35">
        <v>206</v>
      </c>
      <c r="F48" s="35">
        <v>1654</v>
      </c>
      <c r="G48" s="35">
        <f t="shared" si="12"/>
        <v>8029.1262135922334</v>
      </c>
      <c r="H48" s="35">
        <v>211</v>
      </c>
      <c r="I48" s="35">
        <v>1693</v>
      </c>
      <c r="J48" s="35">
        <f t="shared" si="13"/>
        <v>8023.696682464456</v>
      </c>
    </row>
    <row r="49" spans="1:10" s="61" customFormat="1" ht="16.7" customHeight="1" x14ac:dyDescent="0.2">
      <c r="A49" s="3" t="s">
        <v>51</v>
      </c>
      <c r="B49" s="35">
        <v>112</v>
      </c>
      <c r="C49" s="35">
        <v>790</v>
      </c>
      <c r="D49" s="35">
        <f t="shared" si="11"/>
        <v>7053.5714285714284</v>
      </c>
      <c r="E49" s="35">
        <v>116</v>
      </c>
      <c r="F49" s="35">
        <v>815</v>
      </c>
      <c r="G49" s="35">
        <f t="shared" si="12"/>
        <v>7025.8620689655172</v>
      </c>
      <c r="H49" s="35">
        <v>118</v>
      </c>
      <c r="I49" s="35">
        <v>819</v>
      </c>
      <c r="J49" s="35">
        <f t="shared" si="13"/>
        <v>6940.6779661016944</v>
      </c>
    </row>
    <row r="50" spans="1:10" s="61" customFormat="1" ht="16.7" customHeight="1" x14ac:dyDescent="0.2">
      <c r="A50" s="3" t="s">
        <v>33</v>
      </c>
      <c r="B50" s="35">
        <v>422</v>
      </c>
      <c r="C50" s="35">
        <v>2980</v>
      </c>
      <c r="D50" s="35">
        <f t="shared" si="11"/>
        <v>7061.6113744075828</v>
      </c>
      <c r="E50" s="35">
        <v>367</v>
      </c>
      <c r="F50" s="35">
        <v>2391</v>
      </c>
      <c r="G50" s="35">
        <f t="shared" si="12"/>
        <v>6514.9863760217977</v>
      </c>
      <c r="H50" s="35">
        <v>264</v>
      </c>
      <c r="I50" s="35">
        <v>2256</v>
      </c>
      <c r="J50" s="35">
        <f t="shared" si="13"/>
        <v>8545.4545454545441</v>
      </c>
    </row>
    <row r="51" spans="1:10" s="61" customFormat="1" ht="16.7" customHeight="1" x14ac:dyDescent="0.2">
      <c r="A51" s="3" t="s">
        <v>48</v>
      </c>
      <c r="B51" s="35">
        <v>73</v>
      </c>
      <c r="C51" s="35">
        <v>387</v>
      </c>
      <c r="D51" s="35">
        <f t="shared" si="11"/>
        <v>5301.3698630136987</v>
      </c>
      <c r="E51" s="35">
        <v>73</v>
      </c>
      <c r="F51" s="35">
        <v>387</v>
      </c>
      <c r="G51" s="35">
        <f t="shared" si="12"/>
        <v>5301.3698630136987</v>
      </c>
      <c r="H51" s="35">
        <v>75</v>
      </c>
      <c r="I51" s="35">
        <v>399</v>
      </c>
      <c r="J51" s="35">
        <f t="shared" si="13"/>
        <v>5320</v>
      </c>
    </row>
    <row r="52" spans="1:10" s="61" customFormat="1" ht="16.7" customHeight="1" x14ac:dyDescent="0.2">
      <c r="A52" s="3" t="s">
        <v>44</v>
      </c>
      <c r="B52" s="35">
        <f>521+213</f>
        <v>734</v>
      </c>
      <c r="C52" s="35">
        <f>7243+358</f>
        <v>7601</v>
      </c>
      <c r="D52" s="35">
        <f t="shared" si="11"/>
        <v>10355.58583106267</v>
      </c>
      <c r="E52" s="35">
        <f>486+113</f>
        <v>599</v>
      </c>
      <c r="F52" s="35">
        <f>481+6662</f>
        <v>7143</v>
      </c>
      <c r="G52" s="35">
        <f t="shared" si="12"/>
        <v>11924.874791318865</v>
      </c>
      <c r="H52" s="35">
        <v>159</v>
      </c>
      <c r="I52" s="35">
        <v>1061</v>
      </c>
      <c r="J52" s="35">
        <f t="shared" si="13"/>
        <v>6672.9559748427673</v>
      </c>
    </row>
    <row r="53" spans="1:10" s="61" customFormat="1" ht="16.7" customHeight="1" x14ac:dyDescent="0.2">
      <c r="A53" s="3" t="s">
        <v>80</v>
      </c>
      <c r="B53" s="35">
        <v>472</v>
      </c>
      <c r="C53" s="35">
        <v>2867</v>
      </c>
      <c r="D53" s="35">
        <f t="shared" si="11"/>
        <v>6074.1525423728817</v>
      </c>
      <c r="E53" s="35">
        <v>488</v>
      </c>
      <c r="F53" s="35">
        <v>2970</v>
      </c>
      <c r="G53" s="35">
        <f t="shared" si="12"/>
        <v>6086.0655737704919</v>
      </c>
      <c r="H53" s="35">
        <v>510</v>
      </c>
      <c r="I53" s="35">
        <v>2902</v>
      </c>
      <c r="J53" s="35">
        <f t="shared" si="13"/>
        <v>5690.1960784313724</v>
      </c>
    </row>
    <row r="54" spans="1:10" s="61" customFormat="1" ht="16.7" customHeight="1" x14ac:dyDescent="0.2">
      <c r="A54" s="3" t="s">
        <v>81</v>
      </c>
      <c r="B54" s="35">
        <v>263</v>
      </c>
      <c r="C54" s="35">
        <v>2109</v>
      </c>
      <c r="D54" s="35">
        <f t="shared" si="11"/>
        <v>8019.0114068441062</v>
      </c>
      <c r="E54" s="35">
        <v>264</v>
      </c>
      <c r="F54" s="35">
        <v>2215</v>
      </c>
      <c r="G54" s="35">
        <f t="shared" si="12"/>
        <v>8390.1515151515159</v>
      </c>
      <c r="H54" s="35">
        <v>262</v>
      </c>
      <c r="I54" s="35">
        <v>2090</v>
      </c>
      <c r="J54" s="35">
        <f t="shared" si="13"/>
        <v>7977.0992366412211</v>
      </c>
    </row>
    <row r="55" spans="1:10" s="61" customFormat="1" ht="16.7" customHeight="1" x14ac:dyDescent="0.2">
      <c r="A55" s="3" t="s">
        <v>37</v>
      </c>
      <c r="B55" s="35">
        <v>26</v>
      </c>
      <c r="C55" s="35">
        <v>448</v>
      </c>
      <c r="D55" s="35">
        <f t="shared" si="11"/>
        <v>17230.76923076923</v>
      </c>
      <c r="E55" s="35">
        <v>41</v>
      </c>
      <c r="F55" s="35">
        <v>708</v>
      </c>
      <c r="G55" s="35">
        <f t="shared" si="12"/>
        <v>17268.292682926829</v>
      </c>
      <c r="H55" s="35">
        <v>45</v>
      </c>
      <c r="I55" s="35">
        <v>774</v>
      </c>
      <c r="J55" s="35">
        <f t="shared" si="13"/>
        <v>17200</v>
      </c>
    </row>
    <row r="56" spans="1:10" s="61" customFormat="1" ht="16.7" customHeight="1" x14ac:dyDescent="0.2">
      <c r="A56" s="3" t="s">
        <v>40</v>
      </c>
      <c r="B56" s="35">
        <v>643</v>
      </c>
      <c r="C56" s="35">
        <v>5304</v>
      </c>
      <c r="D56" s="35">
        <f t="shared" si="11"/>
        <v>8248.8335925349929</v>
      </c>
      <c r="E56" s="35">
        <v>662</v>
      </c>
      <c r="F56" s="35">
        <v>5454</v>
      </c>
      <c r="G56" s="35">
        <f t="shared" si="12"/>
        <v>8238.6706948640476</v>
      </c>
      <c r="H56" s="35">
        <v>662</v>
      </c>
      <c r="I56" s="35">
        <v>5437</v>
      </c>
      <c r="J56" s="35">
        <f t="shared" si="13"/>
        <v>8212.9909365558924</v>
      </c>
    </row>
    <row r="57" spans="1:10" s="61" customFormat="1" ht="16.7" customHeight="1" x14ac:dyDescent="0.2">
      <c r="A57" s="3" t="s">
        <v>38</v>
      </c>
      <c r="B57" s="35" t="s">
        <v>103</v>
      </c>
      <c r="C57" s="35" t="s">
        <v>103</v>
      </c>
      <c r="D57" s="35" t="s">
        <v>103</v>
      </c>
      <c r="E57" s="35" t="s">
        <v>103</v>
      </c>
      <c r="F57" s="35" t="s">
        <v>103</v>
      </c>
      <c r="G57" s="35" t="s">
        <v>103</v>
      </c>
      <c r="H57" s="35" t="s">
        <v>103</v>
      </c>
      <c r="I57" s="35" t="s">
        <v>103</v>
      </c>
      <c r="J57" s="35" t="s">
        <v>103</v>
      </c>
    </row>
    <row r="58" spans="1:10" s="61" customFormat="1" ht="16.7" customHeight="1" x14ac:dyDescent="0.2">
      <c r="A58" s="3" t="s">
        <v>87</v>
      </c>
      <c r="B58" s="35">
        <v>100</v>
      </c>
      <c r="C58" s="35">
        <v>697</v>
      </c>
      <c r="D58" s="35">
        <f>C58/B58*1000</f>
        <v>6970</v>
      </c>
      <c r="E58" s="35">
        <v>108</v>
      </c>
      <c r="F58" s="35">
        <v>753</v>
      </c>
      <c r="G58" s="35">
        <f>F58/E58*1000</f>
        <v>6972.2222222222226</v>
      </c>
      <c r="H58" s="35">
        <v>109</v>
      </c>
      <c r="I58" s="35">
        <v>740</v>
      </c>
      <c r="J58" s="35">
        <f>I58/H58*1000</f>
        <v>6788.9908256880735</v>
      </c>
    </row>
    <row r="59" spans="1:10" s="61" customFormat="1" ht="16.7" customHeight="1" x14ac:dyDescent="0.2">
      <c r="A59" s="3" t="s">
        <v>36</v>
      </c>
      <c r="B59" s="35">
        <f>399+12</f>
        <v>411</v>
      </c>
      <c r="C59" s="35">
        <f>4356+83</f>
        <v>4439</v>
      </c>
      <c r="D59" s="35">
        <f>C59/B59*1000</f>
        <v>10800.486618004867</v>
      </c>
      <c r="E59" s="35">
        <f>1175+15</f>
        <v>1190</v>
      </c>
      <c r="F59" s="35">
        <f>12828+104</f>
        <v>12932</v>
      </c>
      <c r="G59" s="35">
        <f>F59/E59*1000</f>
        <v>10867.226890756303</v>
      </c>
      <c r="H59" s="35">
        <v>1264</v>
      </c>
      <c r="I59" s="35">
        <v>13730</v>
      </c>
      <c r="J59" s="35">
        <f>I59/H59*1000</f>
        <v>10862.341772151898</v>
      </c>
    </row>
    <row r="60" spans="1:10" s="61" customFormat="1" ht="16.7" customHeight="1" x14ac:dyDescent="0.2">
      <c r="A60" s="3" t="s">
        <v>43</v>
      </c>
      <c r="B60" s="35" t="s">
        <v>103</v>
      </c>
      <c r="C60" s="35" t="s">
        <v>103</v>
      </c>
      <c r="D60" s="35" t="s">
        <v>103</v>
      </c>
      <c r="E60" s="35" t="s">
        <v>103</v>
      </c>
      <c r="F60" s="35" t="s">
        <v>103</v>
      </c>
      <c r="G60" s="35" t="s">
        <v>103</v>
      </c>
      <c r="H60" s="35" t="s">
        <v>103</v>
      </c>
      <c r="I60" s="35" t="s">
        <v>103</v>
      </c>
      <c r="J60" s="35" t="s">
        <v>103</v>
      </c>
    </row>
    <row r="61" spans="1:10" s="61" customFormat="1" ht="16.7" customHeight="1" x14ac:dyDescent="0.2">
      <c r="A61" s="3" t="s">
        <v>88</v>
      </c>
      <c r="B61" s="35">
        <v>103</v>
      </c>
      <c r="C61" s="35">
        <v>622</v>
      </c>
      <c r="D61" s="35">
        <f t="shared" ref="D61:D70" si="14">C61/B61*1000</f>
        <v>6038.8349514563106</v>
      </c>
      <c r="E61" s="35">
        <v>101</v>
      </c>
      <c r="F61" s="35">
        <v>619</v>
      </c>
      <c r="G61" s="35">
        <f t="shared" ref="G61:G70" si="15">F61/E61*1000</f>
        <v>6128.712871287129</v>
      </c>
      <c r="H61" s="35">
        <v>105</v>
      </c>
      <c r="I61" s="35">
        <v>603</v>
      </c>
      <c r="J61" s="35">
        <f t="shared" ref="J61:J70" si="16">I61/H61*1000</f>
        <v>5742.8571428571431</v>
      </c>
    </row>
    <row r="62" spans="1:10" s="61" customFormat="1" ht="16.7" customHeight="1" x14ac:dyDescent="0.2">
      <c r="A62" s="3" t="s">
        <v>47</v>
      </c>
      <c r="B62" s="35">
        <v>117</v>
      </c>
      <c r="C62" s="35">
        <v>1028</v>
      </c>
      <c r="D62" s="35">
        <f t="shared" si="14"/>
        <v>8786.3247863247871</v>
      </c>
      <c r="E62" s="35">
        <v>119</v>
      </c>
      <c r="F62" s="35">
        <v>1050</v>
      </c>
      <c r="G62" s="35">
        <f t="shared" si="15"/>
        <v>8823.5294117647063</v>
      </c>
      <c r="H62" s="35">
        <v>119</v>
      </c>
      <c r="I62" s="35">
        <v>1048</v>
      </c>
      <c r="J62" s="35">
        <f t="shared" si="16"/>
        <v>8806.7226890756301</v>
      </c>
    </row>
    <row r="63" spans="1:10" s="61" customFormat="1" ht="16.7" customHeight="1" x14ac:dyDescent="0.2">
      <c r="A63" s="3" t="s">
        <v>52</v>
      </c>
      <c r="B63" s="35">
        <v>855</v>
      </c>
      <c r="C63" s="35">
        <v>5020</v>
      </c>
      <c r="D63" s="35">
        <f t="shared" si="14"/>
        <v>5871.3450292397656</v>
      </c>
      <c r="E63" s="35">
        <v>1035</v>
      </c>
      <c r="F63" s="35">
        <v>6470</v>
      </c>
      <c r="G63" s="35">
        <f t="shared" si="15"/>
        <v>6251.2077294685996</v>
      </c>
      <c r="H63" s="35">
        <v>1056</v>
      </c>
      <c r="I63" s="35">
        <v>6642</v>
      </c>
      <c r="J63" s="35">
        <f t="shared" si="16"/>
        <v>6289.7727272727279</v>
      </c>
    </row>
    <row r="64" spans="1:10" s="61" customFormat="1" ht="16.7" customHeight="1" x14ac:dyDescent="0.2">
      <c r="A64" s="3" t="s">
        <v>41</v>
      </c>
      <c r="B64" s="35">
        <v>223</v>
      </c>
      <c r="C64" s="35">
        <v>1785</v>
      </c>
      <c r="D64" s="35">
        <f t="shared" si="14"/>
        <v>8004.4843049327346</v>
      </c>
      <c r="E64" s="35">
        <v>228</v>
      </c>
      <c r="F64" s="35">
        <v>1823</v>
      </c>
      <c r="G64" s="35">
        <f t="shared" si="15"/>
        <v>7995.6140350877195</v>
      </c>
      <c r="H64" s="35">
        <v>233</v>
      </c>
      <c r="I64" s="35">
        <v>1861</v>
      </c>
      <c r="J64" s="35">
        <f t="shared" si="16"/>
        <v>7987.1244635193134</v>
      </c>
    </row>
    <row r="65" spans="1:10" s="61" customFormat="1" ht="16.7" customHeight="1" x14ac:dyDescent="0.2">
      <c r="A65" s="3" t="s">
        <v>34</v>
      </c>
      <c r="B65" s="35">
        <v>282</v>
      </c>
      <c r="C65" s="35">
        <v>3443</v>
      </c>
      <c r="D65" s="35">
        <f t="shared" si="14"/>
        <v>12209.21985815603</v>
      </c>
      <c r="E65" s="35">
        <v>289</v>
      </c>
      <c r="F65" s="35">
        <v>3524</v>
      </c>
      <c r="G65" s="35">
        <f t="shared" si="15"/>
        <v>12193.771626297577</v>
      </c>
      <c r="H65" s="35">
        <v>289</v>
      </c>
      <c r="I65" s="35">
        <v>3524</v>
      </c>
      <c r="J65" s="35">
        <f t="shared" si="16"/>
        <v>12193.771626297577</v>
      </c>
    </row>
    <row r="66" spans="1:10" s="61" customFormat="1" ht="16.7" customHeight="1" x14ac:dyDescent="0.2">
      <c r="A66" s="3" t="s">
        <v>89</v>
      </c>
      <c r="B66" s="35">
        <v>225</v>
      </c>
      <c r="C66" s="35">
        <v>1556</v>
      </c>
      <c r="D66" s="35">
        <f t="shared" si="14"/>
        <v>6915.5555555555557</v>
      </c>
      <c r="E66" s="35">
        <v>237</v>
      </c>
      <c r="F66" s="35">
        <v>1636</v>
      </c>
      <c r="G66" s="35">
        <f t="shared" si="15"/>
        <v>6902.9535864978907</v>
      </c>
      <c r="H66" s="35">
        <v>242</v>
      </c>
      <c r="I66" s="35">
        <v>1615</v>
      </c>
      <c r="J66" s="35">
        <f t="shared" si="16"/>
        <v>6673.5537190082641</v>
      </c>
    </row>
    <row r="67" spans="1:10" s="61" customFormat="1" ht="16.7" customHeight="1" x14ac:dyDescent="0.2">
      <c r="A67" s="3" t="s">
        <v>91</v>
      </c>
      <c r="B67" s="35">
        <v>240</v>
      </c>
      <c r="C67" s="35">
        <v>1426</v>
      </c>
      <c r="D67" s="35">
        <f t="shared" si="14"/>
        <v>5941.6666666666661</v>
      </c>
      <c r="E67" s="35">
        <v>276</v>
      </c>
      <c r="F67" s="35">
        <v>1526</v>
      </c>
      <c r="G67" s="35">
        <f t="shared" si="15"/>
        <v>5528.985507246377</v>
      </c>
      <c r="H67" s="35">
        <v>282</v>
      </c>
      <c r="I67" s="35">
        <v>1511</v>
      </c>
      <c r="J67" s="35">
        <f t="shared" si="16"/>
        <v>5358.156028368795</v>
      </c>
    </row>
    <row r="68" spans="1:10" s="61" customFormat="1" ht="16.7" customHeight="1" x14ac:dyDescent="0.2">
      <c r="A68" s="3" t="s">
        <v>32</v>
      </c>
      <c r="B68" s="35">
        <v>343</v>
      </c>
      <c r="C68" s="35">
        <v>3042</v>
      </c>
      <c r="D68" s="35">
        <f t="shared" si="14"/>
        <v>8868.8046647230312</v>
      </c>
      <c r="E68" s="35">
        <v>345</v>
      </c>
      <c r="F68" s="35">
        <v>3134</v>
      </c>
      <c r="G68" s="35">
        <f t="shared" si="15"/>
        <v>9084.0579710144939</v>
      </c>
      <c r="H68" s="35">
        <v>345</v>
      </c>
      <c r="I68" s="35">
        <v>3134</v>
      </c>
      <c r="J68" s="35">
        <f t="shared" si="16"/>
        <v>9084.0579710144939</v>
      </c>
    </row>
    <row r="69" spans="1:10" s="61" customFormat="1" ht="16.7" customHeight="1" x14ac:dyDescent="0.2">
      <c r="A69" s="3" t="s">
        <v>90</v>
      </c>
      <c r="B69" s="35">
        <v>20</v>
      </c>
      <c r="C69" s="35">
        <v>123</v>
      </c>
      <c r="D69" s="35">
        <f t="shared" si="14"/>
        <v>6150</v>
      </c>
      <c r="E69" s="35">
        <v>22</v>
      </c>
      <c r="F69" s="35">
        <v>135</v>
      </c>
      <c r="G69" s="35">
        <f t="shared" si="15"/>
        <v>6136.3636363636369</v>
      </c>
      <c r="H69" s="35">
        <v>23</v>
      </c>
      <c r="I69" s="35">
        <v>137</v>
      </c>
      <c r="J69" s="35">
        <f t="shared" si="16"/>
        <v>5956.521739130435</v>
      </c>
    </row>
    <row r="70" spans="1:10" s="61" customFormat="1" ht="16.7" customHeight="1" x14ac:dyDescent="0.2">
      <c r="A70" s="3" t="s">
        <v>31</v>
      </c>
      <c r="B70" s="35">
        <f>207+46</f>
        <v>253</v>
      </c>
      <c r="C70" s="35">
        <f>1926+305</f>
        <v>2231</v>
      </c>
      <c r="D70" s="35">
        <f t="shared" si="14"/>
        <v>8818.181818181818</v>
      </c>
      <c r="E70" s="35">
        <f>210+51</f>
        <v>261</v>
      </c>
      <c r="F70" s="35">
        <f>337+1931</f>
        <v>2268</v>
      </c>
      <c r="G70" s="35">
        <f t="shared" si="15"/>
        <v>8689.6551724137935</v>
      </c>
      <c r="H70" s="35">
        <v>262</v>
      </c>
      <c r="I70" s="35">
        <v>2236</v>
      </c>
      <c r="J70" s="35">
        <f t="shared" si="16"/>
        <v>8534.3511450381666</v>
      </c>
    </row>
    <row r="71" spans="1:10" s="61" customFormat="1" ht="16.7" customHeight="1" x14ac:dyDescent="0.2">
      <c r="A71" s="3" t="s">
        <v>92</v>
      </c>
      <c r="B71" s="35" t="s">
        <v>103</v>
      </c>
      <c r="C71" s="35" t="s">
        <v>103</v>
      </c>
      <c r="D71" s="35" t="s">
        <v>103</v>
      </c>
      <c r="E71" s="35" t="s">
        <v>103</v>
      </c>
      <c r="F71" s="35" t="s">
        <v>103</v>
      </c>
      <c r="G71" s="35" t="s">
        <v>103</v>
      </c>
      <c r="H71" s="35" t="s">
        <v>103</v>
      </c>
      <c r="I71" s="35" t="s">
        <v>103</v>
      </c>
      <c r="J71" s="35" t="s">
        <v>103</v>
      </c>
    </row>
    <row r="72" spans="1:10" s="61" customFormat="1" ht="16.7" customHeight="1" x14ac:dyDescent="0.2">
      <c r="A72" s="3" t="s">
        <v>50</v>
      </c>
      <c r="B72" s="35">
        <v>46</v>
      </c>
      <c r="C72" s="35">
        <v>258</v>
      </c>
      <c r="D72" s="35">
        <f>C72/B72*1000</f>
        <v>5608.695652173913</v>
      </c>
      <c r="E72" s="35">
        <v>47</v>
      </c>
      <c r="F72" s="35">
        <v>261</v>
      </c>
      <c r="G72" s="35">
        <f>F72/E72*1000</f>
        <v>5553.1914893617022</v>
      </c>
      <c r="H72" s="35">
        <v>47</v>
      </c>
      <c r="I72" s="35">
        <v>237</v>
      </c>
      <c r="J72" s="35">
        <f>I72/H72*1000</f>
        <v>5042.5531914893618</v>
      </c>
    </row>
    <row r="73" spans="1:10" s="61" customFormat="1" ht="16.7" customHeight="1" x14ac:dyDescent="0.2">
      <c r="A73" s="3" t="s">
        <v>35</v>
      </c>
      <c r="B73" s="35">
        <v>510</v>
      </c>
      <c r="C73" s="35">
        <v>4855</v>
      </c>
      <c r="D73" s="35">
        <f>C73/B73*1000</f>
        <v>9519.6078431372553</v>
      </c>
      <c r="E73" s="35">
        <v>510</v>
      </c>
      <c r="F73" s="35">
        <v>4855</v>
      </c>
      <c r="G73" s="35">
        <f>F73/E73*1000</f>
        <v>9519.6078431372553</v>
      </c>
      <c r="H73" s="35">
        <v>510</v>
      </c>
      <c r="I73" s="35">
        <v>4646</v>
      </c>
      <c r="J73" s="35">
        <f>I73/H73*1000</f>
        <v>9109.8039215686276</v>
      </c>
    </row>
    <row r="74" spans="1:10" s="61" customFormat="1" ht="16.7" customHeight="1" x14ac:dyDescent="0.2">
      <c r="A74" s="3" t="s">
        <v>49</v>
      </c>
      <c r="B74" s="35">
        <v>86</v>
      </c>
      <c r="C74" s="35">
        <v>605</v>
      </c>
      <c r="D74" s="35">
        <f>C74/B74*1000</f>
        <v>7034.8837209302328</v>
      </c>
      <c r="E74" s="35">
        <v>80</v>
      </c>
      <c r="F74" s="35">
        <v>580</v>
      </c>
      <c r="G74" s="35">
        <f>F74/E74*1000</f>
        <v>7250</v>
      </c>
      <c r="H74" s="35">
        <v>63</v>
      </c>
      <c r="I74" s="35">
        <v>383</v>
      </c>
      <c r="J74" s="35">
        <f>I74/H74*1000</f>
        <v>6079.3650793650795</v>
      </c>
    </row>
    <row r="75" spans="1:10" s="61" customFormat="1" ht="16.7" customHeight="1" x14ac:dyDescent="0.2">
      <c r="A75" s="3" t="s">
        <v>45</v>
      </c>
      <c r="B75" s="35">
        <v>18</v>
      </c>
      <c r="C75" s="35">
        <v>175</v>
      </c>
      <c r="D75" s="35">
        <f>C75/B75*1000</f>
        <v>9722.2222222222208</v>
      </c>
      <c r="E75" s="35">
        <v>19</v>
      </c>
      <c r="F75" s="35">
        <v>183</v>
      </c>
      <c r="G75" s="35">
        <f>F75/E75*1000</f>
        <v>9631.5789473684217</v>
      </c>
      <c r="H75" s="35" t="s">
        <v>103</v>
      </c>
      <c r="I75" s="35" t="s">
        <v>103</v>
      </c>
      <c r="J75" s="35" t="s">
        <v>103</v>
      </c>
    </row>
    <row r="76" spans="1:10" s="61" customFormat="1" ht="16.7" customHeight="1" x14ac:dyDescent="0.2">
      <c r="A76" s="3" t="s">
        <v>79</v>
      </c>
      <c r="B76" s="35" t="s">
        <v>103</v>
      </c>
      <c r="C76" s="35" t="s">
        <v>103</v>
      </c>
      <c r="D76" s="35" t="s">
        <v>103</v>
      </c>
      <c r="E76" s="35" t="s">
        <v>103</v>
      </c>
      <c r="F76" s="35" t="s">
        <v>103</v>
      </c>
      <c r="G76" s="35" t="s">
        <v>103</v>
      </c>
      <c r="H76" s="35" t="s">
        <v>103</v>
      </c>
      <c r="I76" s="35" t="s">
        <v>103</v>
      </c>
      <c r="J76" s="35" t="s">
        <v>103</v>
      </c>
    </row>
    <row r="77" spans="1:10" ht="4.5" customHeight="1" x14ac:dyDescent="0.2">
      <c r="B77" s="17"/>
      <c r="C77" s="17"/>
      <c r="E77" s="17"/>
      <c r="F77" s="17"/>
      <c r="H77" s="17"/>
      <c r="I77" s="17"/>
    </row>
    <row r="78" spans="1:10" s="8" customFormat="1" ht="12" x14ac:dyDescent="0.2">
      <c r="J78" s="53" t="s">
        <v>99</v>
      </c>
    </row>
    <row r="79" spans="1:10" ht="60" customHeight="1" x14ac:dyDescent="0.2">
      <c r="A79" s="77" t="s">
        <v>112</v>
      </c>
      <c r="B79" s="77"/>
      <c r="C79" s="77"/>
      <c r="D79" s="77"/>
      <c r="E79" s="77"/>
      <c r="F79" s="77"/>
      <c r="G79" s="77"/>
      <c r="H79" s="77"/>
      <c r="I79" s="77"/>
      <c r="J79" s="77"/>
    </row>
    <row r="80" spans="1:10" s="8" customFormat="1" ht="12" x14ac:dyDescent="0.2">
      <c r="A80" s="8" t="s">
        <v>85</v>
      </c>
      <c r="C80" s="15"/>
      <c r="D80" s="15"/>
      <c r="E80" s="15"/>
      <c r="F80" s="15"/>
      <c r="G80" s="15"/>
      <c r="H80" s="15"/>
      <c r="I80" s="15"/>
      <c r="J80" s="15"/>
    </row>
    <row r="81" spans="1:10" ht="20.100000000000001" customHeight="1" x14ac:dyDescent="0.2">
      <c r="A81" s="72" t="s">
        <v>30</v>
      </c>
      <c r="B81" s="72" t="s">
        <v>86</v>
      </c>
      <c r="C81" s="72"/>
      <c r="D81" s="72"/>
      <c r="E81" s="72" t="s">
        <v>95</v>
      </c>
      <c r="F81" s="72"/>
      <c r="G81" s="72"/>
      <c r="H81" s="72" t="s">
        <v>102</v>
      </c>
      <c r="I81" s="72"/>
      <c r="J81" s="72"/>
    </row>
    <row r="82" spans="1:10" ht="39.950000000000003" customHeight="1" x14ac:dyDescent="0.2">
      <c r="A82" s="72"/>
      <c r="B82" s="63" t="s">
        <v>98</v>
      </c>
      <c r="C82" s="63" t="s">
        <v>96</v>
      </c>
      <c r="D82" s="63" t="s">
        <v>97</v>
      </c>
      <c r="E82" s="63" t="s">
        <v>98</v>
      </c>
      <c r="F82" s="63" t="s">
        <v>96</v>
      </c>
      <c r="G82" s="63" t="s">
        <v>97</v>
      </c>
      <c r="H82" s="63" t="s">
        <v>98</v>
      </c>
      <c r="I82" s="63" t="s">
        <v>96</v>
      </c>
      <c r="J82" s="63" t="s">
        <v>97</v>
      </c>
    </row>
    <row r="83" spans="1:10" s="61" customFormat="1" ht="25.5" customHeight="1" x14ac:dyDescent="0.2">
      <c r="A83" s="6" t="s">
        <v>68</v>
      </c>
      <c r="B83" s="34">
        <f t="shared" ref="B83:C83" si="17">SUM(B84:B115)</f>
        <v>22490</v>
      </c>
      <c r="C83" s="34">
        <f t="shared" si="17"/>
        <v>215530</v>
      </c>
      <c r="D83" s="34">
        <f t="shared" ref="D83" si="18">C83/B83*1000</f>
        <v>9583.3703868385946</v>
      </c>
      <c r="E83" s="34">
        <f t="shared" ref="E83:F83" si="19">SUM(E84:E115)</f>
        <v>22651</v>
      </c>
      <c r="F83" s="34">
        <f t="shared" si="19"/>
        <v>214031</v>
      </c>
      <c r="G83" s="34">
        <f t="shared" ref="G83:G114" si="20">F83/E83*1000</f>
        <v>9449.0750960222504</v>
      </c>
      <c r="H83" s="34">
        <f>SUM(H84:H115)</f>
        <v>23188</v>
      </c>
      <c r="I83" s="34">
        <f>SUM(I84:I115)</f>
        <v>212367</v>
      </c>
      <c r="J83" s="34">
        <f t="shared" ref="J83" si="21">I83/H83*1000</f>
        <v>9158.4871485250987</v>
      </c>
    </row>
    <row r="84" spans="1:10" s="61" customFormat="1" ht="16.7" customHeight="1" x14ac:dyDescent="0.2">
      <c r="A84" s="3" t="s">
        <v>39</v>
      </c>
      <c r="B84" s="35">
        <v>52</v>
      </c>
      <c r="C84" s="35">
        <v>5068</v>
      </c>
      <c r="D84" s="35">
        <f t="shared" ref="D84:D114" si="22">C84/B84*1000</f>
        <v>97461.538461538468</v>
      </c>
      <c r="E84" s="35">
        <v>52</v>
      </c>
      <c r="F84" s="35">
        <v>5078</v>
      </c>
      <c r="G84" s="35">
        <f t="shared" si="20"/>
        <v>97653.846153846156</v>
      </c>
      <c r="H84" s="35">
        <v>42</v>
      </c>
      <c r="I84" s="35">
        <v>207</v>
      </c>
      <c r="J84" s="35">
        <f t="shared" ref="J84:J98" si="23">I84/H84*1000</f>
        <v>4928.5714285714284</v>
      </c>
    </row>
    <row r="85" spans="1:10" s="61" customFormat="1" ht="16.7" customHeight="1" x14ac:dyDescent="0.2">
      <c r="A85" s="3" t="s">
        <v>94</v>
      </c>
      <c r="B85" s="35">
        <v>379</v>
      </c>
      <c r="C85" s="35">
        <v>2087</v>
      </c>
      <c r="D85" s="35">
        <f t="shared" si="22"/>
        <v>5506.5963060686017</v>
      </c>
      <c r="E85" s="35">
        <v>387</v>
      </c>
      <c r="F85" s="35">
        <v>2138</v>
      </c>
      <c r="G85" s="35">
        <f t="shared" si="20"/>
        <v>5524.5478036175709</v>
      </c>
      <c r="H85" s="35">
        <v>406</v>
      </c>
      <c r="I85" s="35">
        <v>2279</v>
      </c>
      <c r="J85" s="35">
        <f t="shared" si="23"/>
        <v>5613.300492610837</v>
      </c>
    </row>
    <row r="86" spans="1:10" s="61" customFormat="1" ht="16.7" customHeight="1" x14ac:dyDescent="0.2">
      <c r="A86" s="3" t="s">
        <v>46</v>
      </c>
      <c r="B86" s="35">
        <f>407+56</f>
        <v>463</v>
      </c>
      <c r="C86" s="35">
        <f>2937+289</f>
        <v>3226</v>
      </c>
      <c r="D86" s="35">
        <f t="shared" si="22"/>
        <v>6967.6025917926572</v>
      </c>
      <c r="E86" s="35">
        <f>413+73</f>
        <v>486</v>
      </c>
      <c r="F86" s="35">
        <f>2993+334</f>
        <v>3327</v>
      </c>
      <c r="G86" s="35">
        <f t="shared" si="20"/>
        <v>6845.6790123456785</v>
      </c>
      <c r="H86" s="35">
        <f>412+82</f>
        <v>494</v>
      </c>
      <c r="I86" s="35">
        <v>3415</v>
      </c>
      <c r="J86" s="35">
        <f t="shared" si="23"/>
        <v>6912.9554655870443</v>
      </c>
    </row>
    <row r="87" spans="1:10" s="61" customFormat="1" ht="16.7" customHeight="1" x14ac:dyDescent="0.2">
      <c r="A87" s="3" t="s">
        <v>42</v>
      </c>
      <c r="B87" s="35">
        <v>73</v>
      </c>
      <c r="C87" s="35">
        <v>468</v>
      </c>
      <c r="D87" s="35">
        <f t="shared" si="22"/>
        <v>6410.9589041095887</v>
      </c>
      <c r="E87" s="35">
        <v>77</v>
      </c>
      <c r="F87" s="35">
        <v>493</v>
      </c>
      <c r="G87" s="35">
        <f t="shared" si="20"/>
        <v>6402.5974025974028</v>
      </c>
      <c r="H87" s="35">
        <v>82</v>
      </c>
      <c r="I87" s="35">
        <v>524</v>
      </c>
      <c r="J87" s="35">
        <f t="shared" si="23"/>
        <v>6390.2439024390251</v>
      </c>
    </row>
    <row r="88" spans="1:10" s="61" customFormat="1" ht="16.7" customHeight="1" x14ac:dyDescent="0.2">
      <c r="A88" s="3" t="s">
        <v>51</v>
      </c>
      <c r="B88" s="35">
        <v>612</v>
      </c>
      <c r="C88" s="35">
        <v>6711</v>
      </c>
      <c r="D88" s="35">
        <f t="shared" si="22"/>
        <v>10965.686274509802</v>
      </c>
      <c r="E88" s="35">
        <v>630</v>
      </c>
      <c r="F88" s="35">
        <v>6867</v>
      </c>
      <c r="G88" s="35">
        <f t="shared" si="20"/>
        <v>10900</v>
      </c>
      <c r="H88" s="35">
        <v>622</v>
      </c>
      <c r="I88" s="35">
        <v>6747</v>
      </c>
      <c r="J88" s="35">
        <f t="shared" si="23"/>
        <v>10847.266881028938</v>
      </c>
    </row>
    <row r="89" spans="1:10" s="61" customFormat="1" ht="16.7" customHeight="1" x14ac:dyDescent="0.2">
      <c r="A89" s="3" t="s">
        <v>33</v>
      </c>
      <c r="B89" s="35">
        <v>1892</v>
      </c>
      <c r="C89" s="35">
        <v>24896</v>
      </c>
      <c r="D89" s="35">
        <f t="shared" si="22"/>
        <v>13158.562367864693</v>
      </c>
      <c r="E89" s="35">
        <v>1917</v>
      </c>
      <c r="F89" s="35">
        <v>23852</v>
      </c>
      <c r="G89" s="35">
        <f t="shared" si="20"/>
        <v>12442.357850808556</v>
      </c>
      <c r="H89" s="35">
        <v>1561</v>
      </c>
      <c r="I89" s="35">
        <v>19024</v>
      </c>
      <c r="J89" s="35">
        <f t="shared" si="23"/>
        <v>12187.059577194106</v>
      </c>
    </row>
    <row r="90" spans="1:10" s="61" customFormat="1" ht="16.7" customHeight="1" x14ac:dyDescent="0.2">
      <c r="A90" s="3" t="s">
        <v>48</v>
      </c>
      <c r="B90" s="35">
        <v>429</v>
      </c>
      <c r="C90" s="35">
        <v>4343</v>
      </c>
      <c r="D90" s="35">
        <f t="shared" si="22"/>
        <v>10123.543123543124</v>
      </c>
      <c r="E90" s="35">
        <v>430</v>
      </c>
      <c r="F90" s="35">
        <v>4354</v>
      </c>
      <c r="G90" s="35">
        <f t="shared" si="20"/>
        <v>10125.581395348836</v>
      </c>
      <c r="H90" s="35">
        <v>433</v>
      </c>
      <c r="I90" s="35">
        <v>4381</v>
      </c>
      <c r="J90" s="35">
        <f t="shared" si="23"/>
        <v>10117.782909930716</v>
      </c>
    </row>
    <row r="91" spans="1:10" s="61" customFormat="1" ht="16.7" customHeight="1" x14ac:dyDescent="0.2">
      <c r="A91" s="3" t="s">
        <v>44</v>
      </c>
      <c r="B91" s="35">
        <f>782+30</f>
        <v>812</v>
      </c>
      <c r="C91" s="35">
        <f>6477+99</f>
        <v>6576</v>
      </c>
      <c r="D91" s="35">
        <f t="shared" si="22"/>
        <v>8098.5221674876848</v>
      </c>
      <c r="E91" s="35">
        <f>1028+18</f>
        <v>1046</v>
      </c>
      <c r="F91" s="35">
        <f>6581+53</f>
        <v>6634</v>
      </c>
      <c r="G91" s="35">
        <f t="shared" si="20"/>
        <v>6342.2562141491389</v>
      </c>
      <c r="H91" s="35">
        <f>794+21</f>
        <v>815</v>
      </c>
      <c r="I91" s="35">
        <v>6698</v>
      </c>
      <c r="J91" s="35">
        <f t="shared" si="23"/>
        <v>8218.4049079754604</v>
      </c>
    </row>
    <row r="92" spans="1:10" s="61" customFormat="1" ht="16.7" customHeight="1" x14ac:dyDescent="0.2">
      <c r="A92" s="3" t="s">
        <v>80</v>
      </c>
      <c r="B92" s="35">
        <v>532</v>
      </c>
      <c r="C92" s="35">
        <v>6876</v>
      </c>
      <c r="D92" s="35">
        <f t="shared" si="22"/>
        <v>12924.812030075187</v>
      </c>
      <c r="E92" s="35">
        <v>422</v>
      </c>
      <c r="F92" s="35">
        <v>8050</v>
      </c>
      <c r="G92" s="35">
        <f t="shared" si="20"/>
        <v>19075.829383886256</v>
      </c>
      <c r="H92" s="35">
        <v>617</v>
      </c>
      <c r="I92" s="35">
        <v>7974</v>
      </c>
      <c r="J92" s="35">
        <f t="shared" si="23"/>
        <v>12923.824959481362</v>
      </c>
    </row>
    <row r="93" spans="1:10" s="61" customFormat="1" ht="16.7" customHeight="1" x14ac:dyDescent="0.2">
      <c r="A93" s="3" t="s">
        <v>81</v>
      </c>
      <c r="B93" s="35">
        <v>280</v>
      </c>
      <c r="C93" s="35">
        <v>4203</v>
      </c>
      <c r="D93" s="35">
        <f t="shared" si="22"/>
        <v>15010.714285714286</v>
      </c>
      <c r="E93" s="35">
        <v>283</v>
      </c>
      <c r="F93" s="35">
        <v>4296</v>
      </c>
      <c r="G93" s="35">
        <f t="shared" si="20"/>
        <v>15180.212014134275</v>
      </c>
      <c r="H93" s="35">
        <v>294</v>
      </c>
      <c r="I93" s="35">
        <v>4545</v>
      </c>
      <c r="J93" s="35">
        <f t="shared" si="23"/>
        <v>15459.183673469388</v>
      </c>
    </row>
    <row r="94" spans="1:10" s="61" customFormat="1" ht="16.7" customHeight="1" x14ac:dyDescent="0.2">
      <c r="A94" s="3" t="s">
        <v>37</v>
      </c>
      <c r="B94" s="35">
        <v>187</v>
      </c>
      <c r="C94" s="35">
        <v>1072</v>
      </c>
      <c r="D94" s="35">
        <f t="shared" si="22"/>
        <v>5732.6203208556144</v>
      </c>
      <c r="E94" s="35">
        <v>258</v>
      </c>
      <c r="F94" s="35">
        <v>1479</v>
      </c>
      <c r="G94" s="35">
        <f t="shared" si="20"/>
        <v>5732.5581395348845</v>
      </c>
      <c r="H94" s="35">
        <v>125</v>
      </c>
      <c r="I94" s="35">
        <v>1266</v>
      </c>
      <c r="J94" s="35">
        <f t="shared" si="23"/>
        <v>10128</v>
      </c>
    </row>
    <row r="95" spans="1:10" s="61" customFormat="1" ht="16.7" customHeight="1" x14ac:dyDescent="0.2">
      <c r="A95" s="3" t="s">
        <v>40</v>
      </c>
      <c r="B95" s="35">
        <v>784</v>
      </c>
      <c r="C95" s="35">
        <v>7242</v>
      </c>
      <c r="D95" s="35">
        <f t="shared" si="22"/>
        <v>9237.2448979591827</v>
      </c>
      <c r="E95" s="35">
        <v>673</v>
      </c>
      <c r="F95" s="35">
        <v>6247</v>
      </c>
      <c r="G95" s="35">
        <f t="shared" si="20"/>
        <v>9282.3179791976236</v>
      </c>
      <c r="H95" s="35">
        <v>671</v>
      </c>
      <c r="I95" s="35">
        <v>5605</v>
      </c>
      <c r="J95" s="35">
        <f t="shared" si="23"/>
        <v>8353.2041728763033</v>
      </c>
    </row>
    <row r="96" spans="1:10" s="61" customFormat="1" ht="16.7" customHeight="1" x14ac:dyDescent="0.2">
      <c r="A96" s="3" t="s">
        <v>38</v>
      </c>
      <c r="B96" s="35">
        <v>11</v>
      </c>
      <c r="C96" s="35">
        <v>38</v>
      </c>
      <c r="D96" s="35">
        <f t="shared" si="22"/>
        <v>3454.5454545454545</v>
      </c>
      <c r="E96" s="35">
        <v>8</v>
      </c>
      <c r="F96" s="35">
        <v>28</v>
      </c>
      <c r="G96" s="35">
        <f t="shared" si="20"/>
        <v>3500</v>
      </c>
      <c r="H96" s="35">
        <v>5</v>
      </c>
      <c r="I96" s="35">
        <v>19</v>
      </c>
      <c r="J96" s="35">
        <f t="shared" si="23"/>
        <v>3800</v>
      </c>
    </row>
    <row r="97" spans="1:10" s="61" customFormat="1" ht="16.7" customHeight="1" x14ac:dyDescent="0.2">
      <c r="A97" s="3" t="s">
        <v>87</v>
      </c>
      <c r="B97" s="35">
        <v>150</v>
      </c>
      <c r="C97" s="35">
        <v>875</v>
      </c>
      <c r="D97" s="35">
        <f t="shared" si="22"/>
        <v>5833.333333333333</v>
      </c>
      <c r="E97" s="35">
        <v>163</v>
      </c>
      <c r="F97" s="35">
        <v>971</v>
      </c>
      <c r="G97" s="35">
        <f t="shared" si="20"/>
        <v>5957.0552147239259</v>
      </c>
      <c r="H97" s="35">
        <v>176</v>
      </c>
      <c r="I97" s="35">
        <v>1082</v>
      </c>
      <c r="J97" s="35">
        <f t="shared" si="23"/>
        <v>6147.7272727272721</v>
      </c>
    </row>
    <row r="98" spans="1:10" s="61" customFormat="1" ht="16.7" customHeight="1" x14ac:dyDescent="0.2">
      <c r="A98" s="3" t="s">
        <v>36</v>
      </c>
      <c r="B98" s="35">
        <f>561+16</f>
        <v>577</v>
      </c>
      <c r="C98" s="35">
        <f>5794+101</f>
        <v>5895</v>
      </c>
      <c r="D98" s="35">
        <f t="shared" si="22"/>
        <v>10216.637781629115</v>
      </c>
      <c r="E98" s="35">
        <f>288+18</f>
        <v>306</v>
      </c>
      <c r="F98" s="35">
        <f>2974+86</f>
        <v>3060</v>
      </c>
      <c r="G98" s="35">
        <f t="shared" si="20"/>
        <v>10000</v>
      </c>
      <c r="H98" s="35">
        <f>571+20</f>
        <v>591</v>
      </c>
      <c r="I98" s="35">
        <v>5999</v>
      </c>
      <c r="J98" s="35">
        <f t="shared" si="23"/>
        <v>10150.592216582065</v>
      </c>
    </row>
    <row r="99" spans="1:10" s="61" customFormat="1" ht="16.7" customHeight="1" x14ac:dyDescent="0.2">
      <c r="A99" s="3" t="s">
        <v>43</v>
      </c>
      <c r="B99" s="35">
        <v>91</v>
      </c>
      <c r="C99" s="35">
        <v>425</v>
      </c>
      <c r="D99" s="35">
        <f t="shared" si="22"/>
        <v>4670.329670329671</v>
      </c>
      <c r="E99" s="35">
        <v>95</v>
      </c>
      <c r="F99" s="35">
        <v>442</v>
      </c>
      <c r="G99" s="35">
        <f t="shared" si="20"/>
        <v>4652.6315789473683</v>
      </c>
      <c r="H99" s="35" t="s">
        <v>103</v>
      </c>
      <c r="I99" s="35" t="s">
        <v>103</v>
      </c>
      <c r="J99" s="35" t="s">
        <v>103</v>
      </c>
    </row>
    <row r="100" spans="1:10" s="61" customFormat="1" ht="16.7" customHeight="1" x14ac:dyDescent="0.2">
      <c r="A100" s="3" t="s">
        <v>88</v>
      </c>
      <c r="B100" s="35">
        <v>872</v>
      </c>
      <c r="C100" s="35">
        <v>5856</v>
      </c>
      <c r="D100" s="35">
        <f t="shared" si="22"/>
        <v>6715.5963302752289</v>
      </c>
      <c r="E100" s="35">
        <v>880</v>
      </c>
      <c r="F100" s="35">
        <v>5898</v>
      </c>
      <c r="G100" s="35">
        <f t="shared" si="20"/>
        <v>6702.272727272727</v>
      </c>
      <c r="H100" s="35">
        <v>886</v>
      </c>
      <c r="I100" s="35">
        <v>5953</v>
      </c>
      <c r="J100" s="35">
        <f t="shared" ref="J100:J114" si="24">I100/H100*1000</f>
        <v>6718.961625282167</v>
      </c>
    </row>
    <row r="101" spans="1:10" s="61" customFormat="1" ht="16.7" customHeight="1" x14ac:dyDescent="0.2">
      <c r="A101" s="3" t="s">
        <v>47</v>
      </c>
      <c r="B101" s="35">
        <v>120</v>
      </c>
      <c r="C101" s="35">
        <v>716</v>
      </c>
      <c r="D101" s="35">
        <f t="shared" si="22"/>
        <v>5966.666666666667</v>
      </c>
      <c r="E101" s="35">
        <v>125</v>
      </c>
      <c r="F101" s="35">
        <v>766</v>
      </c>
      <c r="G101" s="35">
        <f t="shared" si="20"/>
        <v>6128</v>
      </c>
      <c r="H101" s="35">
        <v>127</v>
      </c>
      <c r="I101" s="35">
        <v>777</v>
      </c>
      <c r="J101" s="35">
        <f t="shared" si="24"/>
        <v>6118.110236220472</v>
      </c>
    </row>
    <row r="102" spans="1:10" s="61" customFormat="1" ht="16.7" customHeight="1" x14ac:dyDescent="0.2">
      <c r="A102" s="3" t="s">
        <v>52</v>
      </c>
      <c r="B102" s="35">
        <v>482</v>
      </c>
      <c r="C102" s="35">
        <v>4420</v>
      </c>
      <c r="D102" s="35">
        <f t="shared" si="22"/>
        <v>9170.1244813278008</v>
      </c>
      <c r="E102" s="35">
        <v>482</v>
      </c>
      <c r="F102" s="35">
        <v>4490</v>
      </c>
      <c r="G102" s="35">
        <f t="shared" si="20"/>
        <v>9315.3526970954372</v>
      </c>
      <c r="H102" s="35">
        <v>486</v>
      </c>
      <c r="I102" s="35">
        <v>4600</v>
      </c>
      <c r="J102" s="35">
        <f t="shared" si="24"/>
        <v>9465.0205761316865</v>
      </c>
    </row>
    <row r="103" spans="1:10" s="61" customFormat="1" ht="16.7" customHeight="1" x14ac:dyDescent="0.2">
      <c r="A103" s="3" t="s">
        <v>41</v>
      </c>
      <c r="B103" s="35">
        <v>911</v>
      </c>
      <c r="C103" s="35">
        <v>4810</v>
      </c>
      <c r="D103" s="35">
        <f t="shared" si="22"/>
        <v>5279.912184412733</v>
      </c>
      <c r="E103" s="35">
        <v>917</v>
      </c>
      <c r="F103" s="35">
        <v>4838</v>
      </c>
      <c r="G103" s="35">
        <f t="shared" si="20"/>
        <v>5275.899672846238</v>
      </c>
      <c r="H103" s="35">
        <v>926</v>
      </c>
      <c r="I103" s="35">
        <v>4881</v>
      </c>
      <c r="J103" s="35">
        <f t="shared" si="24"/>
        <v>5271.0583153347734</v>
      </c>
    </row>
    <row r="104" spans="1:10" s="61" customFormat="1" ht="16.7" customHeight="1" x14ac:dyDescent="0.2">
      <c r="A104" s="3" t="s">
        <v>34</v>
      </c>
      <c r="B104" s="35">
        <v>1322</v>
      </c>
      <c r="C104" s="35">
        <v>14880</v>
      </c>
      <c r="D104" s="35">
        <f t="shared" si="22"/>
        <v>11255.673222390318</v>
      </c>
      <c r="E104" s="35">
        <v>1310</v>
      </c>
      <c r="F104" s="35">
        <v>13212</v>
      </c>
      <c r="G104" s="35">
        <f t="shared" si="20"/>
        <v>10085.496183206107</v>
      </c>
      <c r="H104" s="35">
        <v>1482</v>
      </c>
      <c r="I104" s="35">
        <v>14820</v>
      </c>
      <c r="J104" s="35">
        <f t="shared" si="24"/>
        <v>10000</v>
      </c>
    </row>
    <row r="105" spans="1:10" s="61" customFormat="1" ht="16.7" customHeight="1" x14ac:dyDescent="0.2">
      <c r="A105" s="3" t="s">
        <v>89</v>
      </c>
      <c r="B105" s="35">
        <v>825</v>
      </c>
      <c r="C105" s="35">
        <v>6692</v>
      </c>
      <c r="D105" s="35">
        <f t="shared" si="22"/>
        <v>8111.515151515151</v>
      </c>
      <c r="E105" s="35">
        <v>841</v>
      </c>
      <c r="F105" s="35">
        <v>6791</v>
      </c>
      <c r="G105" s="35">
        <f t="shared" si="20"/>
        <v>8074.9108204518425</v>
      </c>
      <c r="H105" s="35">
        <v>841</v>
      </c>
      <c r="I105" s="35">
        <v>6748</v>
      </c>
      <c r="J105" s="35">
        <f t="shared" si="24"/>
        <v>8023.7812128418554</v>
      </c>
    </row>
    <row r="106" spans="1:10" s="61" customFormat="1" ht="16.7" customHeight="1" x14ac:dyDescent="0.2">
      <c r="A106" s="3" t="s">
        <v>91</v>
      </c>
      <c r="B106" s="35">
        <v>357</v>
      </c>
      <c r="C106" s="35">
        <v>2022</v>
      </c>
      <c r="D106" s="35">
        <f t="shared" si="22"/>
        <v>5663.8655462184879</v>
      </c>
      <c r="E106" s="35">
        <v>366</v>
      </c>
      <c r="F106" s="35">
        <v>2073</v>
      </c>
      <c r="G106" s="35">
        <f t="shared" si="20"/>
        <v>5663.9344262295081</v>
      </c>
      <c r="H106" s="35">
        <v>383</v>
      </c>
      <c r="I106" s="35">
        <v>2176</v>
      </c>
      <c r="J106" s="35">
        <f t="shared" si="24"/>
        <v>5681.4621409921674</v>
      </c>
    </row>
    <row r="107" spans="1:10" s="61" customFormat="1" ht="16.7" customHeight="1" x14ac:dyDescent="0.2">
      <c r="A107" s="3" t="s">
        <v>32</v>
      </c>
      <c r="B107" s="35">
        <v>1096</v>
      </c>
      <c r="C107" s="35">
        <v>9917</v>
      </c>
      <c r="D107" s="35">
        <f t="shared" si="22"/>
        <v>9048.3576642335756</v>
      </c>
      <c r="E107" s="35">
        <v>1188</v>
      </c>
      <c r="F107" s="35">
        <v>10051</v>
      </c>
      <c r="G107" s="35">
        <f t="shared" si="20"/>
        <v>8460.4377104377108</v>
      </c>
      <c r="H107" s="35">
        <v>1075</v>
      </c>
      <c r="I107" s="35">
        <v>9743</v>
      </c>
      <c r="J107" s="35">
        <f t="shared" si="24"/>
        <v>9063.2558139534867</v>
      </c>
    </row>
    <row r="108" spans="1:10" s="61" customFormat="1" ht="16.7" customHeight="1" x14ac:dyDescent="0.2">
      <c r="A108" s="3" t="s">
        <v>90</v>
      </c>
      <c r="B108" s="35">
        <v>119</v>
      </c>
      <c r="C108" s="35">
        <v>1120</v>
      </c>
      <c r="D108" s="35">
        <f t="shared" si="22"/>
        <v>9411.7647058823532</v>
      </c>
      <c r="E108" s="35">
        <v>134</v>
      </c>
      <c r="F108" s="35">
        <v>1187</v>
      </c>
      <c r="G108" s="35">
        <f t="shared" si="20"/>
        <v>8858.2089552238795</v>
      </c>
      <c r="H108" s="35">
        <v>142</v>
      </c>
      <c r="I108" s="35">
        <v>1282</v>
      </c>
      <c r="J108" s="35">
        <f t="shared" si="24"/>
        <v>9028.1690140845076</v>
      </c>
    </row>
    <row r="109" spans="1:10" s="61" customFormat="1" ht="16.7" customHeight="1" x14ac:dyDescent="0.2">
      <c r="A109" s="3" t="s">
        <v>31</v>
      </c>
      <c r="B109" s="35">
        <f>1909+0</f>
        <v>1909</v>
      </c>
      <c r="C109" s="35">
        <f>18949+0</f>
        <v>18949</v>
      </c>
      <c r="D109" s="35">
        <f t="shared" si="22"/>
        <v>9926.1393399685694</v>
      </c>
      <c r="E109" s="35">
        <f>1888+0</f>
        <v>1888</v>
      </c>
      <c r="F109" s="35">
        <f>18942+0</f>
        <v>18942</v>
      </c>
      <c r="G109" s="35">
        <f t="shared" si="20"/>
        <v>10032.838983050848</v>
      </c>
      <c r="H109" s="35">
        <v>1818</v>
      </c>
      <c r="I109" s="35">
        <v>18466</v>
      </c>
      <c r="J109" s="35">
        <f t="shared" si="24"/>
        <v>10157.315731573159</v>
      </c>
    </row>
    <row r="110" spans="1:10" s="61" customFormat="1" ht="16.7" customHeight="1" x14ac:dyDescent="0.2">
      <c r="A110" s="3" t="s">
        <v>92</v>
      </c>
      <c r="B110" s="35">
        <v>340</v>
      </c>
      <c r="C110" s="35">
        <v>771</v>
      </c>
      <c r="D110" s="35">
        <f t="shared" si="22"/>
        <v>2267.6470588235293</v>
      </c>
      <c r="E110" s="35">
        <v>347</v>
      </c>
      <c r="F110" s="35">
        <v>2359</v>
      </c>
      <c r="G110" s="35">
        <f t="shared" si="20"/>
        <v>6798.2708933717577</v>
      </c>
      <c r="H110" s="35">
        <v>360</v>
      </c>
      <c r="I110" s="35">
        <v>2448</v>
      </c>
      <c r="J110" s="35">
        <f t="shared" si="24"/>
        <v>6800</v>
      </c>
    </row>
    <row r="111" spans="1:10" s="61" customFormat="1" ht="16.7" customHeight="1" x14ac:dyDescent="0.2">
      <c r="A111" s="3" t="s">
        <v>50</v>
      </c>
      <c r="B111" s="35">
        <v>108</v>
      </c>
      <c r="C111" s="35">
        <v>1220</v>
      </c>
      <c r="D111" s="35">
        <f t="shared" si="22"/>
        <v>11296.296296296296</v>
      </c>
      <c r="E111" s="35">
        <v>60</v>
      </c>
      <c r="F111" s="35">
        <v>690</v>
      </c>
      <c r="G111" s="35">
        <f t="shared" si="20"/>
        <v>11500</v>
      </c>
      <c r="H111" s="35">
        <v>124</v>
      </c>
      <c r="I111" s="35">
        <v>1372</v>
      </c>
      <c r="J111" s="35">
        <f t="shared" si="24"/>
        <v>11064.516129032258</v>
      </c>
    </row>
    <row r="112" spans="1:10" s="61" customFormat="1" ht="16.7" customHeight="1" x14ac:dyDescent="0.2">
      <c r="A112" s="3" t="s">
        <v>35</v>
      </c>
      <c r="B112" s="35">
        <v>307</v>
      </c>
      <c r="C112" s="35">
        <v>3156</v>
      </c>
      <c r="D112" s="35">
        <f t="shared" si="22"/>
        <v>10280.130293159609</v>
      </c>
      <c r="E112" s="35">
        <v>295</v>
      </c>
      <c r="F112" s="35">
        <v>3030</v>
      </c>
      <c r="G112" s="35">
        <f t="shared" si="20"/>
        <v>10271.186440677966</v>
      </c>
      <c r="H112" s="35">
        <v>298</v>
      </c>
      <c r="I112" s="35">
        <v>3076</v>
      </c>
      <c r="J112" s="35">
        <f t="shared" si="24"/>
        <v>10322.147651006711</v>
      </c>
    </row>
    <row r="113" spans="1:10" s="61" customFormat="1" ht="16.7" customHeight="1" x14ac:dyDescent="0.2">
      <c r="A113" s="3" t="s">
        <v>49</v>
      </c>
      <c r="B113" s="35">
        <v>5805</v>
      </c>
      <c r="C113" s="35">
        <v>59060</v>
      </c>
      <c r="D113" s="35">
        <f t="shared" si="22"/>
        <v>10173.987941429801</v>
      </c>
      <c r="E113" s="35">
        <v>5985</v>
      </c>
      <c r="F113" s="35">
        <v>60445</v>
      </c>
      <c r="G113" s="35">
        <f t="shared" si="20"/>
        <v>10099.415204678362</v>
      </c>
      <c r="H113" s="35">
        <v>6700</v>
      </c>
      <c r="I113" s="35">
        <v>64278</v>
      </c>
      <c r="J113" s="35">
        <f t="shared" si="24"/>
        <v>9593.7313432835836</v>
      </c>
    </row>
    <row r="114" spans="1:10" s="61" customFormat="1" ht="16.7" customHeight="1" x14ac:dyDescent="0.2">
      <c r="A114" s="3" t="s">
        <v>45</v>
      </c>
      <c r="B114" s="35">
        <v>593</v>
      </c>
      <c r="C114" s="35">
        <v>1940</v>
      </c>
      <c r="D114" s="35">
        <f t="shared" si="22"/>
        <v>3271.5008431703204</v>
      </c>
      <c r="E114" s="35">
        <v>600</v>
      </c>
      <c r="F114" s="35">
        <v>1943</v>
      </c>
      <c r="G114" s="35">
        <f t="shared" si="20"/>
        <v>3238.3333333333335</v>
      </c>
      <c r="H114" s="35">
        <v>606</v>
      </c>
      <c r="I114" s="35">
        <v>1982</v>
      </c>
      <c r="J114" s="35">
        <f t="shared" si="24"/>
        <v>3270.6270627062704</v>
      </c>
    </row>
    <row r="115" spans="1:10" s="61" customFormat="1" ht="16.7" customHeight="1" x14ac:dyDescent="0.2">
      <c r="A115" s="3" t="s">
        <v>79</v>
      </c>
      <c r="B115" s="35" t="s">
        <v>103</v>
      </c>
      <c r="C115" s="35" t="s">
        <v>103</v>
      </c>
      <c r="D115" s="35" t="s">
        <v>103</v>
      </c>
      <c r="E115" s="35" t="s">
        <v>103</v>
      </c>
      <c r="F115" s="35" t="s">
        <v>103</v>
      </c>
      <c r="G115" s="35" t="s">
        <v>103</v>
      </c>
      <c r="H115" s="35" t="s">
        <v>103</v>
      </c>
      <c r="I115" s="35" t="s">
        <v>103</v>
      </c>
      <c r="J115" s="35" t="s">
        <v>103</v>
      </c>
    </row>
    <row r="116" spans="1:10" ht="6" customHeight="1" x14ac:dyDescent="0.2">
      <c r="B116" s="17"/>
      <c r="C116" s="17"/>
      <c r="E116" s="17"/>
    </row>
    <row r="117" spans="1:10" x14ac:dyDescent="0.2">
      <c r="J117" s="53" t="s">
        <v>99</v>
      </c>
    </row>
    <row r="118" spans="1:10" ht="60" customHeight="1" x14ac:dyDescent="0.2">
      <c r="A118" s="77" t="s">
        <v>113</v>
      </c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s="8" customFormat="1" ht="12" x14ac:dyDescent="0.2">
      <c r="A119" s="8" t="s">
        <v>106</v>
      </c>
      <c r="C119" s="15"/>
      <c r="D119" s="15"/>
      <c r="E119" s="15"/>
      <c r="F119" s="15"/>
      <c r="G119" s="15"/>
      <c r="H119" s="15"/>
      <c r="I119" s="15"/>
      <c r="J119" s="15"/>
    </row>
    <row r="120" spans="1:10" ht="20.100000000000001" customHeight="1" x14ac:dyDescent="0.2">
      <c r="A120" s="72" t="s">
        <v>30</v>
      </c>
      <c r="B120" s="72" t="s">
        <v>86</v>
      </c>
      <c r="C120" s="72"/>
      <c r="D120" s="72"/>
      <c r="E120" s="72" t="s">
        <v>95</v>
      </c>
      <c r="F120" s="72"/>
      <c r="G120" s="72"/>
      <c r="H120" s="72" t="s">
        <v>102</v>
      </c>
      <c r="I120" s="72"/>
      <c r="J120" s="72"/>
    </row>
    <row r="121" spans="1:10" ht="39.950000000000003" customHeight="1" x14ac:dyDescent="0.2">
      <c r="A121" s="72"/>
      <c r="B121" s="63" t="s">
        <v>98</v>
      </c>
      <c r="C121" s="63" t="s">
        <v>96</v>
      </c>
      <c r="D121" s="63" t="s">
        <v>97</v>
      </c>
      <c r="E121" s="63" t="s">
        <v>98</v>
      </c>
      <c r="F121" s="63" t="s">
        <v>96</v>
      </c>
      <c r="G121" s="63" t="s">
        <v>97</v>
      </c>
      <c r="H121" s="63" t="s">
        <v>98</v>
      </c>
      <c r="I121" s="63" t="s">
        <v>96</v>
      </c>
      <c r="J121" s="63" t="s">
        <v>97</v>
      </c>
    </row>
    <row r="122" spans="1:10" s="61" customFormat="1" ht="25.5" customHeight="1" x14ac:dyDescent="0.2">
      <c r="A122" s="6" t="s">
        <v>68</v>
      </c>
      <c r="B122" s="34">
        <f t="shared" ref="B122:C122" si="25">SUM(B123:B154)</f>
        <v>36983</v>
      </c>
      <c r="C122" s="34">
        <f t="shared" si="25"/>
        <v>321566</v>
      </c>
      <c r="D122" s="34">
        <f t="shared" ref="D122:D134" si="26">C122/B122*1000</f>
        <v>8694.9679582510871</v>
      </c>
      <c r="E122" s="34">
        <f t="shared" ref="E122:F122" si="27">SUM(E123:E154)</f>
        <v>36255</v>
      </c>
      <c r="F122" s="34">
        <f t="shared" si="27"/>
        <v>326293</v>
      </c>
      <c r="G122" s="34">
        <f t="shared" ref="G122:G134" si="28">F122/E122*1000</f>
        <v>8999.9448351951469</v>
      </c>
      <c r="H122" s="34">
        <f>SUM(H123:H154)</f>
        <v>36053</v>
      </c>
      <c r="I122" s="34">
        <f>SUM(I123:I154)</f>
        <v>326617</v>
      </c>
      <c r="J122" s="34">
        <f t="shared" ref="J122:J134" si="29">I122/H122*1000</f>
        <v>9059.3570576651055</v>
      </c>
    </row>
    <row r="123" spans="1:10" s="61" customFormat="1" ht="16.7" customHeight="1" x14ac:dyDescent="0.2">
      <c r="A123" s="3" t="s">
        <v>39</v>
      </c>
      <c r="B123" s="35">
        <v>695</v>
      </c>
      <c r="C123" s="35">
        <v>5723</v>
      </c>
      <c r="D123" s="35">
        <f t="shared" si="26"/>
        <v>8234.5323741007196</v>
      </c>
      <c r="E123" s="35">
        <v>697</v>
      </c>
      <c r="F123" s="35">
        <v>5738</v>
      </c>
      <c r="G123" s="35">
        <f t="shared" si="28"/>
        <v>8232.424677187948</v>
      </c>
      <c r="H123" s="35">
        <v>694</v>
      </c>
      <c r="I123" s="35">
        <v>5734</v>
      </c>
      <c r="J123" s="35">
        <f t="shared" si="29"/>
        <v>8262.2478386167149</v>
      </c>
    </row>
    <row r="124" spans="1:10" s="61" customFormat="1" ht="16.7" customHeight="1" x14ac:dyDescent="0.2">
      <c r="A124" s="3" t="s">
        <v>94</v>
      </c>
      <c r="B124" s="35">
        <v>409</v>
      </c>
      <c r="C124" s="35">
        <v>3835</v>
      </c>
      <c r="D124" s="35">
        <f t="shared" si="26"/>
        <v>9376.528117359414</v>
      </c>
      <c r="E124" s="35">
        <v>405</v>
      </c>
      <c r="F124" s="35">
        <v>3790</v>
      </c>
      <c r="G124" s="35">
        <f t="shared" si="28"/>
        <v>9358.0246913580249</v>
      </c>
      <c r="H124" s="35">
        <v>410</v>
      </c>
      <c r="I124" s="35">
        <v>3834</v>
      </c>
      <c r="J124" s="35">
        <f t="shared" si="29"/>
        <v>9351.2195121951227</v>
      </c>
    </row>
    <row r="125" spans="1:10" s="61" customFormat="1" ht="16.7" customHeight="1" x14ac:dyDescent="0.2">
      <c r="A125" s="3" t="s">
        <v>46</v>
      </c>
      <c r="B125" s="35">
        <f>1239+37</f>
        <v>1276</v>
      </c>
      <c r="C125" s="35">
        <f>20204+491</f>
        <v>20695</v>
      </c>
      <c r="D125" s="35">
        <f t="shared" si="26"/>
        <v>16218.652037617556</v>
      </c>
      <c r="E125" s="35">
        <f>1241+34</f>
        <v>1275</v>
      </c>
      <c r="F125" s="35">
        <f>20253+562</f>
        <v>20815</v>
      </c>
      <c r="G125" s="35">
        <f t="shared" si="28"/>
        <v>16325.49019607843</v>
      </c>
      <c r="H125" s="35">
        <v>1278</v>
      </c>
      <c r="I125" s="35">
        <v>20854</v>
      </c>
      <c r="J125" s="35">
        <f t="shared" si="29"/>
        <v>16317.683881064162</v>
      </c>
    </row>
    <row r="126" spans="1:10" s="61" customFormat="1" ht="16.7" customHeight="1" x14ac:dyDescent="0.2">
      <c r="A126" s="3" t="s">
        <v>42</v>
      </c>
      <c r="B126" s="35">
        <v>160</v>
      </c>
      <c r="C126" s="35">
        <v>1431</v>
      </c>
      <c r="D126" s="35">
        <f t="shared" si="26"/>
        <v>8943.75</v>
      </c>
      <c r="E126" s="35">
        <v>166</v>
      </c>
      <c r="F126" s="35">
        <v>1482</v>
      </c>
      <c r="G126" s="35">
        <f t="shared" si="28"/>
        <v>8927.7108433734957</v>
      </c>
      <c r="H126" s="35">
        <v>171</v>
      </c>
      <c r="I126" s="35">
        <v>1528</v>
      </c>
      <c r="J126" s="35">
        <f t="shared" si="29"/>
        <v>8935.6725146198823</v>
      </c>
    </row>
    <row r="127" spans="1:10" s="61" customFormat="1" ht="16.7" customHeight="1" x14ac:dyDescent="0.2">
      <c r="A127" s="3" t="s">
        <v>51</v>
      </c>
      <c r="B127" s="35">
        <v>564</v>
      </c>
      <c r="C127" s="35">
        <v>5754</v>
      </c>
      <c r="D127" s="35">
        <f t="shared" si="26"/>
        <v>10202.127659574469</v>
      </c>
      <c r="E127" s="35">
        <v>569</v>
      </c>
      <c r="F127" s="35">
        <v>5845</v>
      </c>
      <c r="G127" s="35">
        <f t="shared" si="28"/>
        <v>10272.407732864674</v>
      </c>
      <c r="H127" s="35">
        <v>573</v>
      </c>
      <c r="I127" s="35">
        <v>5910</v>
      </c>
      <c r="J127" s="35">
        <f t="shared" si="29"/>
        <v>10314.13612565445</v>
      </c>
    </row>
    <row r="128" spans="1:10" s="61" customFormat="1" ht="16.7" customHeight="1" x14ac:dyDescent="0.2">
      <c r="A128" s="3" t="s">
        <v>33</v>
      </c>
      <c r="B128" s="35">
        <v>887</v>
      </c>
      <c r="C128" s="35">
        <v>9838</v>
      </c>
      <c r="D128" s="35">
        <f t="shared" si="26"/>
        <v>11091.319052987599</v>
      </c>
      <c r="E128" s="35">
        <v>885</v>
      </c>
      <c r="F128" s="35">
        <v>9822</v>
      </c>
      <c r="G128" s="35">
        <f t="shared" si="28"/>
        <v>11098.305084745762</v>
      </c>
      <c r="H128" s="35">
        <v>610</v>
      </c>
      <c r="I128" s="35">
        <v>6650</v>
      </c>
      <c r="J128" s="35">
        <f t="shared" si="29"/>
        <v>10901.639344262294</v>
      </c>
    </row>
    <row r="129" spans="1:10" s="61" customFormat="1" ht="16.7" customHeight="1" x14ac:dyDescent="0.2">
      <c r="A129" s="3" t="s">
        <v>48</v>
      </c>
      <c r="B129" s="35">
        <v>588</v>
      </c>
      <c r="C129" s="35">
        <v>4343</v>
      </c>
      <c r="D129" s="35">
        <f t="shared" si="26"/>
        <v>7386.0544217687075</v>
      </c>
      <c r="E129" s="35">
        <v>589</v>
      </c>
      <c r="F129" s="35">
        <v>4349</v>
      </c>
      <c r="G129" s="35">
        <f t="shared" si="28"/>
        <v>7383.7011884550084</v>
      </c>
      <c r="H129" s="35">
        <v>594</v>
      </c>
      <c r="I129" s="35">
        <v>4378</v>
      </c>
      <c r="J129" s="35">
        <f t="shared" si="29"/>
        <v>7370.3703703703704</v>
      </c>
    </row>
    <row r="130" spans="1:10" s="61" customFormat="1" ht="16.7" customHeight="1" x14ac:dyDescent="0.2">
      <c r="A130" s="3" t="s">
        <v>44</v>
      </c>
      <c r="B130" s="35">
        <f>1679+20</f>
        <v>1699</v>
      </c>
      <c r="C130" s="35">
        <f>21451+304</f>
        <v>21755</v>
      </c>
      <c r="D130" s="35">
        <f t="shared" si="26"/>
        <v>12804.590935844615</v>
      </c>
      <c r="E130" s="35">
        <f>1692+31</f>
        <v>1723</v>
      </c>
      <c r="F130" s="35">
        <f>21684+336</f>
        <v>22020</v>
      </c>
      <c r="G130" s="35">
        <f t="shared" si="28"/>
        <v>12780.034822983169</v>
      </c>
      <c r="H130" s="35">
        <v>1748</v>
      </c>
      <c r="I130" s="35">
        <v>25274</v>
      </c>
      <c r="J130" s="35">
        <f t="shared" si="29"/>
        <v>14458.810068649886</v>
      </c>
    </row>
    <row r="131" spans="1:10" s="61" customFormat="1" ht="16.7" customHeight="1" x14ac:dyDescent="0.2">
      <c r="A131" s="3" t="s">
        <v>80</v>
      </c>
      <c r="B131" s="35">
        <v>265</v>
      </c>
      <c r="C131" s="35">
        <v>2654</v>
      </c>
      <c r="D131" s="35">
        <f t="shared" si="26"/>
        <v>10015.094339622643</v>
      </c>
      <c r="E131" s="35">
        <v>263</v>
      </c>
      <c r="F131" s="35">
        <v>2590</v>
      </c>
      <c r="G131" s="35">
        <f t="shared" si="28"/>
        <v>9847.9087452471485</v>
      </c>
      <c r="H131" s="35">
        <v>281</v>
      </c>
      <c r="I131" s="35">
        <v>2745</v>
      </c>
      <c r="J131" s="35">
        <f t="shared" si="29"/>
        <v>9768.6832740213522</v>
      </c>
    </row>
    <row r="132" spans="1:10" s="61" customFormat="1" ht="16.7" customHeight="1" x14ac:dyDescent="0.2">
      <c r="A132" s="3" t="s">
        <v>81</v>
      </c>
      <c r="B132" s="35">
        <v>1269</v>
      </c>
      <c r="C132" s="35">
        <v>12904</v>
      </c>
      <c r="D132" s="35">
        <f t="shared" si="26"/>
        <v>10168.63672182821</v>
      </c>
      <c r="E132" s="35">
        <v>1278</v>
      </c>
      <c r="F132" s="35">
        <v>12988</v>
      </c>
      <c r="G132" s="35">
        <f t="shared" si="28"/>
        <v>10162.754303599375</v>
      </c>
      <c r="H132" s="35">
        <v>1282</v>
      </c>
      <c r="I132" s="35">
        <v>13023</v>
      </c>
      <c r="J132" s="35">
        <f t="shared" si="29"/>
        <v>10158.346333853353</v>
      </c>
    </row>
    <row r="133" spans="1:10" s="61" customFormat="1" ht="16.7" customHeight="1" x14ac:dyDescent="0.2">
      <c r="A133" s="3" t="s">
        <v>37</v>
      </c>
      <c r="B133" s="35">
        <v>14</v>
      </c>
      <c r="C133" s="35">
        <v>256</v>
      </c>
      <c r="D133" s="35">
        <f t="shared" si="26"/>
        <v>18285.714285714286</v>
      </c>
      <c r="E133" s="35">
        <v>12</v>
      </c>
      <c r="F133" s="35">
        <v>220</v>
      </c>
      <c r="G133" s="35">
        <f t="shared" si="28"/>
        <v>18333.333333333332</v>
      </c>
      <c r="H133" s="35">
        <v>14</v>
      </c>
      <c r="I133" s="35">
        <v>218</v>
      </c>
      <c r="J133" s="35">
        <f t="shared" si="29"/>
        <v>15571.428571428571</v>
      </c>
    </row>
    <row r="134" spans="1:10" s="61" customFormat="1" ht="16.7" customHeight="1" x14ac:dyDescent="0.2">
      <c r="A134" s="3" t="s">
        <v>40</v>
      </c>
      <c r="B134" s="35">
        <v>565</v>
      </c>
      <c r="C134" s="35">
        <v>5088</v>
      </c>
      <c r="D134" s="35">
        <f t="shared" si="26"/>
        <v>9005.3097345132737</v>
      </c>
      <c r="E134" s="35">
        <v>558</v>
      </c>
      <c r="F134" s="35">
        <v>4839</v>
      </c>
      <c r="G134" s="35">
        <f t="shared" si="28"/>
        <v>8672.0430107526881</v>
      </c>
      <c r="H134" s="35">
        <v>550</v>
      </c>
      <c r="I134" s="35">
        <v>4782</v>
      </c>
      <c r="J134" s="35">
        <f t="shared" si="29"/>
        <v>8694.5454545454559</v>
      </c>
    </row>
    <row r="135" spans="1:10" s="61" customFormat="1" ht="16.7" customHeight="1" x14ac:dyDescent="0.2">
      <c r="A135" s="3" t="s">
        <v>38</v>
      </c>
      <c r="B135" s="35" t="s">
        <v>103</v>
      </c>
      <c r="C135" s="35" t="s">
        <v>103</v>
      </c>
      <c r="D135" s="35" t="s">
        <v>103</v>
      </c>
      <c r="E135" s="35" t="s">
        <v>103</v>
      </c>
      <c r="F135" s="35" t="s">
        <v>103</v>
      </c>
      <c r="G135" s="35" t="s">
        <v>103</v>
      </c>
      <c r="H135" s="35" t="s">
        <v>103</v>
      </c>
      <c r="I135" s="35" t="s">
        <v>103</v>
      </c>
      <c r="J135" s="35" t="s">
        <v>103</v>
      </c>
    </row>
    <row r="136" spans="1:10" s="61" customFormat="1" ht="16.7" customHeight="1" x14ac:dyDescent="0.2">
      <c r="A136" s="3" t="s">
        <v>87</v>
      </c>
      <c r="B136" s="35">
        <v>115</v>
      </c>
      <c r="C136" s="35">
        <v>1079</v>
      </c>
      <c r="D136" s="35">
        <f t="shared" ref="D136:D153" si="30">C136/B136*1000</f>
        <v>9382.608695652174</v>
      </c>
      <c r="E136" s="35">
        <v>127</v>
      </c>
      <c r="F136" s="35">
        <v>1206</v>
      </c>
      <c r="G136" s="35">
        <f t="shared" ref="G136:G153" si="31">F136/E136*1000</f>
        <v>9496.0629921259842</v>
      </c>
      <c r="H136" s="35">
        <v>133</v>
      </c>
      <c r="I136" s="35">
        <v>1259</v>
      </c>
      <c r="J136" s="35">
        <f>I136/H136*1000</f>
        <v>9466.165413533834</v>
      </c>
    </row>
    <row r="137" spans="1:10" s="61" customFormat="1" ht="16.7" customHeight="1" x14ac:dyDescent="0.2">
      <c r="A137" s="3" t="s">
        <v>36</v>
      </c>
      <c r="B137" s="35">
        <f>533+24</f>
        <v>557</v>
      </c>
      <c r="C137" s="35">
        <f>4582+305</f>
        <v>4887</v>
      </c>
      <c r="D137" s="35">
        <f t="shared" si="30"/>
        <v>8773.788150807899</v>
      </c>
      <c r="E137" s="35">
        <f>497+27</f>
        <v>524</v>
      </c>
      <c r="F137" s="35">
        <f>4273+369</f>
        <v>4642</v>
      </c>
      <c r="G137" s="35">
        <f t="shared" si="31"/>
        <v>8858.7786259541972</v>
      </c>
      <c r="H137" s="35">
        <f>747+28</f>
        <v>775</v>
      </c>
      <c r="I137" s="35">
        <v>6811</v>
      </c>
      <c r="J137" s="35">
        <f>I137/H137*1000</f>
        <v>8788.387096774195</v>
      </c>
    </row>
    <row r="138" spans="1:10" s="61" customFormat="1" ht="16.7" customHeight="1" x14ac:dyDescent="0.2">
      <c r="A138" s="3" t="s">
        <v>43</v>
      </c>
      <c r="B138" s="35">
        <v>132</v>
      </c>
      <c r="C138" s="35">
        <v>590</v>
      </c>
      <c r="D138" s="35">
        <f t="shared" si="30"/>
        <v>4469.69696969697</v>
      </c>
      <c r="E138" s="35">
        <v>135</v>
      </c>
      <c r="F138" s="35">
        <v>602</v>
      </c>
      <c r="G138" s="35">
        <f t="shared" si="31"/>
        <v>4459.25925925926</v>
      </c>
      <c r="H138" s="35" t="s">
        <v>103</v>
      </c>
      <c r="I138" s="35" t="s">
        <v>103</v>
      </c>
      <c r="J138" s="35" t="s">
        <v>103</v>
      </c>
    </row>
    <row r="139" spans="1:10" s="61" customFormat="1" ht="16.7" customHeight="1" x14ac:dyDescent="0.2">
      <c r="A139" s="3" t="s">
        <v>88</v>
      </c>
      <c r="B139" s="35">
        <v>315</v>
      </c>
      <c r="C139" s="35">
        <v>4216</v>
      </c>
      <c r="D139" s="35">
        <f t="shared" si="30"/>
        <v>13384.126984126984</v>
      </c>
      <c r="E139" s="35">
        <v>324</v>
      </c>
      <c r="F139" s="35">
        <v>4342</v>
      </c>
      <c r="G139" s="35">
        <f t="shared" si="31"/>
        <v>13401.234567901234</v>
      </c>
      <c r="H139" s="35">
        <v>330</v>
      </c>
      <c r="I139" s="35">
        <v>4416</v>
      </c>
      <c r="J139" s="35">
        <f t="shared" ref="J139:J153" si="32">I139/H139*1000</f>
        <v>13381.81818181818</v>
      </c>
    </row>
    <row r="140" spans="1:10" s="61" customFormat="1" ht="16.7" customHeight="1" x14ac:dyDescent="0.2">
      <c r="A140" s="3" t="s">
        <v>47</v>
      </c>
      <c r="B140" s="35">
        <v>1691</v>
      </c>
      <c r="C140" s="35">
        <v>18838</v>
      </c>
      <c r="D140" s="35">
        <f t="shared" si="30"/>
        <v>11140.153755174453</v>
      </c>
      <c r="E140" s="35">
        <v>1704</v>
      </c>
      <c r="F140" s="35">
        <v>19134</v>
      </c>
      <c r="G140" s="35">
        <f t="shared" si="31"/>
        <v>11228.87323943662</v>
      </c>
      <c r="H140" s="35">
        <v>1700</v>
      </c>
      <c r="I140" s="35">
        <v>19118</v>
      </c>
      <c r="J140" s="35">
        <f t="shared" si="32"/>
        <v>11245.882352941177</v>
      </c>
    </row>
    <row r="141" spans="1:10" s="61" customFormat="1" ht="16.7" customHeight="1" x14ac:dyDescent="0.2">
      <c r="A141" s="3" t="s">
        <v>52</v>
      </c>
      <c r="B141" s="35">
        <v>706</v>
      </c>
      <c r="C141" s="35">
        <v>5218</v>
      </c>
      <c r="D141" s="35">
        <f t="shared" si="30"/>
        <v>7390.934844192635</v>
      </c>
      <c r="E141" s="35">
        <v>708</v>
      </c>
      <c r="F141" s="35">
        <v>5235</v>
      </c>
      <c r="G141" s="35">
        <f t="shared" si="31"/>
        <v>7394.0677966101694</v>
      </c>
      <c r="H141" s="35">
        <v>712</v>
      </c>
      <c r="I141" s="35">
        <v>5248</v>
      </c>
      <c r="J141" s="35">
        <f t="shared" si="32"/>
        <v>7370.7865168539329</v>
      </c>
    </row>
    <row r="142" spans="1:10" s="61" customFormat="1" ht="16.7" customHeight="1" x14ac:dyDescent="0.2">
      <c r="A142" s="3" t="s">
        <v>41</v>
      </c>
      <c r="B142" s="35">
        <v>1144</v>
      </c>
      <c r="C142" s="35">
        <v>7444</v>
      </c>
      <c r="D142" s="35">
        <f t="shared" si="30"/>
        <v>6506.9930069930069</v>
      </c>
      <c r="E142" s="35">
        <v>1150</v>
      </c>
      <c r="F142" s="35">
        <v>7476</v>
      </c>
      <c r="G142" s="35">
        <f t="shared" si="31"/>
        <v>6500.869565217391</v>
      </c>
      <c r="H142" s="35">
        <v>1158</v>
      </c>
      <c r="I142" s="35">
        <v>7516</v>
      </c>
      <c r="J142" s="35">
        <f t="shared" si="32"/>
        <v>6490.5008635578579</v>
      </c>
    </row>
    <row r="143" spans="1:10" s="61" customFormat="1" ht="16.7" customHeight="1" x14ac:dyDescent="0.2">
      <c r="A143" s="3" t="s">
        <v>34</v>
      </c>
      <c r="B143" s="35">
        <v>1317</v>
      </c>
      <c r="C143" s="35">
        <v>12828</v>
      </c>
      <c r="D143" s="35">
        <f t="shared" si="30"/>
        <v>9740.3189066059222</v>
      </c>
      <c r="E143" s="35">
        <v>1364</v>
      </c>
      <c r="F143" s="35">
        <v>13267</v>
      </c>
      <c r="G143" s="35">
        <f t="shared" si="31"/>
        <v>9726.5395894428148</v>
      </c>
      <c r="H143" s="35">
        <v>1394</v>
      </c>
      <c r="I143" s="35">
        <v>13559</v>
      </c>
      <c r="J143" s="35">
        <f t="shared" si="32"/>
        <v>9726.6857962697268</v>
      </c>
    </row>
    <row r="144" spans="1:10" s="61" customFormat="1" ht="16.7" customHeight="1" x14ac:dyDescent="0.2">
      <c r="A144" s="3" t="s">
        <v>89</v>
      </c>
      <c r="B144" s="35">
        <v>194</v>
      </c>
      <c r="C144" s="35">
        <v>2014</v>
      </c>
      <c r="D144" s="35">
        <f t="shared" si="30"/>
        <v>10381.443298969072</v>
      </c>
      <c r="E144" s="35">
        <v>210</v>
      </c>
      <c r="F144" s="35">
        <v>2166</v>
      </c>
      <c r="G144" s="35">
        <f t="shared" si="31"/>
        <v>10314.285714285716</v>
      </c>
      <c r="H144" s="35">
        <v>218</v>
      </c>
      <c r="I144" s="35">
        <v>2268</v>
      </c>
      <c r="J144" s="35">
        <f t="shared" si="32"/>
        <v>10403.669724770642</v>
      </c>
    </row>
    <row r="145" spans="1:10" s="61" customFormat="1" ht="16.7" customHeight="1" x14ac:dyDescent="0.2">
      <c r="A145" s="3" t="s">
        <v>91</v>
      </c>
      <c r="B145" s="35">
        <v>191</v>
      </c>
      <c r="C145" s="35">
        <v>1914</v>
      </c>
      <c r="D145" s="35">
        <f t="shared" si="30"/>
        <v>10020.942408376965</v>
      </c>
      <c r="E145" s="35">
        <v>208</v>
      </c>
      <c r="F145" s="35">
        <v>2097</v>
      </c>
      <c r="G145" s="35">
        <f t="shared" si="31"/>
        <v>10081.73076923077</v>
      </c>
      <c r="H145" s="35">
        <v>216</v>
      </c>
      <c r="I145" s="35">
        <v>2180</v>
      </c>
      <c r="J145" s="35">
        <f t="shared" si="32"/>
        <v>10092.592592592593</v>
      </c>
    </row>
    <row r="146" spans="1:10" s="61" customFormat="1" ht="16.7" customHeight="1" x14ac:dyDescent="0.2">
      <c r="A146" s="3" t="s">
        <v>32</v>
      </c>
      <c r="B146" s="35">
        <v>1174</v>
      </c>
      <c r="C146" s="35">
        <v>20475</v>
      </c>
      <c r="D146" s="35">
        <f t="shared" si="30"/>
        <v>17440.37478705281</v>
      </c>
      <c r="E146" s="35">
        <v>1164</v>
      </c>
      <c r="F146" s="35">
        <v>20149</v>
      </c>
      <c r="G146" s="35">
        <f t="shared" si="31"/>
        <v>17310.137457044675</v>
      </c>
      <c r="H146" s="35">
        <v>1162</v>
      </c>
      <c r="I146" s="35">
        <v>19819</v>
      </c>
      <c r="J146" s="35">
        <f t="shared" si="32"/>
        <v>17055.938037865748</v>
      </c>
    </row>
    <row r="147" spans="1:10" s="61" customFormat="1" ht="16.7" customHeight="1" x14ac:dyDescent="0.2">
      <c r="A147" s="3" t="s">
        <v>90</v>
      </c>
      <c r="B147" s="35">
        <v>160</v>
      </c>
      <c r="C147" s="35">
        <v>1987</v>
      </c>
      <c r="D147" s="35">
        <f t="shared" si="30"/>
        <v>12418.75</v>
      </c>
      <c r="E147" s="35">
        <v>165</v>
      </c>
      <c r="F147" s="35">
        <v>1832</v>
      </c>
      <c r="G147" s="35">
        <f t="shared" si="31"/>
        <v>11103.030303030304</v>
      </c>
      <c r="H147" s="35">
        <v>169</v>
      </c>
      <c r="I147" s="35">
        <v>1884</v>
      </c>
      <c r="J147" s="35">
        <f t="shared" si="32"/>
        <v>11147.92899408284</v>
      </c>
    </row>
    <row r="148" spans="1:10" s="61" customFormat="1" ht="16.7" customHeight="1" x14ac:dyDescent="0.2">
      <c r="A148" s="3" t="s">
        <v>31</v>
      </c>
      <c r="B148" s="35">
        <f>41+2302</f>
        <v>2343</v>
      </c>
      <c r="C148" s="35">
        <f>287+10773</f>
        <v>11060</v>
      </c>
      <c r="D148" s="35">
        <f t="shared" si="30"/>
        <v>4720.443875373453</v>
      </c>
      <c r="E148" s="35">
        <f>2304+45</f>
        <v>2349</v>
      </c>
      <c r="F148" s="35">
        <f>10770+315</f>
        <v>11085</v>
      </c>
      <c r="G148" s="35">
        <f t="shared" si="31"/>
        <v>4719.0293742017875</v>
      </c>
      <c r="H148" s="35">
        <f>2298+47</f>
        <v>2345</v>
      </c>
      <c r="I148" s="35">
        <v>10999</v>
      </c>
      <c r="J148" s="35">
        <f t="shared" si="32"/>
        <v>4690.4051172707887</v>
      </c>
    </row>
    <row r="149" spans="1:10" s="61" customFormat="1" ht="16.7" customHeight="1" x14ac:dyDescent="0.2">
      <c r="A149" s="3" t="s">
        <v>92</v>
      </c>
      <c r="B149" s="35">
        <v>3915</v>
      </c>
      <c r="C149" s="35">
        <v>37958</v>
      </c>
      <c r="D149" s="35">
        <f t="shared" si="30"/>
        <v>9695.5300127713926</v>
      </c>
      <c r="E149" s="35">
        <v>3931</v>
      </c>
      <c r="F149" s="35">
        <v>38198</v>
      </c>
      <c r="G149" s="35">
        <f t="shared" si="31"/>
        <v>9717.1203256168919</v>
      </c>
      <c r="H149" s="35">
        <v>3960</v>
      </c>
      <c r="I149" s="35">
        <v>38475</v>
      </c>
      <c r="J149" s="35">
        <f t="shared" si="32"/>
        <v>9715.9090909090919</v>
      </c>
    </row>
    <row r="150" spans="1:10" s="61" customFormat="1" ht="16.7" customHeight="1" x14ac:dyDescent="0.2">
      <c r="A150" s="3" t="s">
        <v>50</v>
      </c>
      <c r="B150" s="35">
        <v>410</v>
      </c>
      <c r="C150" s="35">
        <v>4455</v>
      </c>
      <c r="D150" s="35">
        <f t="shared" si="30"/>
        <v>10865.853658536585</v>
      </c>
      <c r="E150" s="35">
        <v>510</v>
      </c>
      <c r="F150" s="35">
        <v>5620</v>
      </c>
      <c r="G150" s="35">
        <f t="shared" si="31"/>
        <v>11019.607843137255</v>
      </c>
      <c r="H150" s="35">
        <v>517</v>
      </c>
      <c r="I150" s="35">
        <v>5656</v>
      </c>
      <c r="J150" s="35">
        <f t="shared" si="32"/>
        <v>10940.038684719535</v>
      </c>
    </row>
    <row r="151" spans="1:10" s="61" customFormat="1" ht="16.7" customHeight="1" x14ac:dyDescent="0.2">
      <c r="A151" s="3" t="s">
        <v>35</v>
      </c>
      <c r="B151" s="35">
        <v>898</v>
      </c>
      <c r="C151" s="35">
        <v>7250</v>
      </c>
      <c r="D151" s="35">
        <f t="shared" si="30"/>
        <v>8073.4966592427618</v>
      </c>
      <c r="E151" s="35">
        <v>917</v>
      </c>
      <c r="F151" s="35">
        <v>7464</v>
      </c>
      <c r="G151" s="35">
        <f t="shared" si="31"/>
        <v>8139.5856052344598</v>
      </c>
      <c r="H151" s="35">
        <v>923</v>
      </c>
      <c r="I151" s="35">
        <v>7521</v>
      </c>
      <c r="J151" s="35">
        <f t="shared" si="32"/>
        <v>8148.429035752979</v>
      </c>
    </row>
    <row r="152" spans="1:10" s="61" customFormat="1" ht="16.7" customHeight="1" x14ac:dyDescent="0.2">
      <c r="A152" s="3" t="s">
        <v>49</v>
      </c>
      <c r="B152" s="35">
        <v>13063</v>
      </c>
      <c r="C152" s="35">
        <v>83076</v>
      </c>
      <c r="D152" s="35">
        <f t="shared" si="30"/>
        <v>6359.6417362014854</v>
      </c>
      <c r="E152" s="35">
        <v>12235</v>
      </c>
      <c r="F152" s="35">
        <v>85315</v>
      </c>
      <c r="G152" s="35">
        <f t="shared" si="31"/>
        <v>6973.0281977932154</v>
      </c>
      <c r="H152" s="35">
        <v>12022</v>
      </c>
      <c r="I152" s="35">
        <v>82968</v>
      </c>
      <c r="J152" s="35">
        <f t="shared" si="32"/>
        <v>6901.3475295291964</v>
      </c>
    </row>
    <row r="153" spans="1:10" s="61" customFormat="1" ht="16.7" customHeight="1" x14ac:dyDescent="0.2">
      <c r="A153" s="3" t="s">
        <v>45</v>
      </c>
      <c r="B153" s="35">
        <v>267</v>
      </c>
      <c r="C153" s="35">
        <v>2001</v>
      </c>
      <c r="D153" s="35">
        <f t="shared" si="30"/>
        <v>7494.3820224719102</v>
      </c>
      <c r="E153" s="35">
        <v>110</v>
      </c>
      <c r="F153" s="35">
        <v>1965</v>
      </c>
      <c r="G153" s="35">
        <f t="shared" si="31"/>
        <v>17863.636363636364</v>
      </c>
      <c r="H153" s="35">
        <v>114</v>
      </c>
      <c r="I153" s="35">
        <v>1990</v>
      </c>
      <c r="J153" s="35">
        <f t="shared" si="32"/>
        <v>17456.140350877191</v>
      </c>
    </row>
    <row r="154" spans="1:10" s="61" customFormat="1" ht="16.7" customHeight="1" x14ac:dyDescent="0.2">
      <c r="A154" s="3" t="s">
        <v>79</v>
      </c>
      <c r="B154" s="35" t="s">
        <v>103</v>
      </c>
      <c r="C154" s="35" t="s">
        <v>103</v>
      </c>
      <c r="D154" s="35" t="s">
        <v>103</v>
      </c>
      <c r="E154" s="35" t="s">
        <v>103</v>
      </c>
      <c r="F154" s="35" t="s">
        <v>103</v>
      </c>
      <c r="G154" s="35" t="s">
        <v>103</v>
      </c>
      <c r="H154" s="35" t="s">
        <v>103</v>
      </c>
      <c r="I154" s="35" t="s">
        <v>103</v>
      </c>
      <c r="J154" s="35" t="s">
        <v>103</v>
      </c>
    </row>
    <row r="155" spans="1:10" ht="6.75" customHeight="1" x14ac:dyDescent="0.2">
      <c r="B155" s="17"/>
      <c r="C155" s="17"/>
      <c r="E155" s="17"/>
      <c r="F155" s="17"/>
    </row>
    <row r="156" spans="1:10" s="8" customFormat="1" ht="12" x14ac:dyDescent="0.2">
      <c r="J156" s="53" t="s">
        <v>99</v>
      </c>
    </row>
  </sheetData>
  <sortState ref="A123:J154">
    <sortCondition ref="A123:A154"/>
  </sortState>
  <mergeCells count="20">
    <mergeCell ref="A81:A82"/>
    <mergeCell ref="E81:G81"/>
    <mergeCell ref="H81:J81"/>
    <mergeCell ref="B81:D81"/>
    <mergeCell ref="A1:J1"/>
    <mergeCell ref="A3:A4"/>
    <mergeCell ref="B3:D3"/>
    <mergeCell ref="E3:G3"/>
    <mergeCell ref="H3:J3"/>
    <mergeCell ref="A40:J40"/>
    <mergeCell ref="A42:A43"/>
    <mergeCell ref="E42:G42"/>
    <mergeCell ref="H42:J42"/>
    <mergeCell ref="B42:D42"/>
    <mergeCell ref="A79:J79"/>
    <mergeCell ref="A118:J118"/>
    <mergeCell ref="A120:A121"/>
    <mergeCell ref="E120:G120"/>
    <mergeCell ref="H120:J120"/>
    <mergeCell ref="B120:D120"/>
  </mergeCells>
  <printOptions horizontalCentered="1"/>
  <pageMargins left="0.59055118110236227" right="0.70866141732283472" top="0.74803149606299213" bottom="0.59055118110236227" header="0.31496062992125984" footer="0.31496062992125984"/>
  <pageSetup orientation="portrait" r:id="rId1"/>
  <headerFooter>
    <oddHeader>&amp;C&amp;P</oddHeader>
  </headerFooter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Table13</vt:lpstr>
      <vt:lpstr>Table 14</vt:lpstr>
      <vt:lpstr>Table 15-25</vt:lpstr>
      <vt:lpstr>Table 26-29</vt:lpstr>
      <vt:lpstr>'Table 15-25'!Print_Area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2021-08-06T07:11:01Z</cp:lastPrinted>
  <dcterms:created xsi:type="dcterms:W3CDTF">2002-07-17T08:01:13Z</dcterms:created>
  <dcterms:modified xsi:type="dcterms:W3CDTF">2021-08-06T07:11:56Z</dcterms:modified>
</cp:coreProperties>
</file>