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qib\Desktop\DS 2021==final_04082021\Agriculture\"/>
    </mc:Choice>
  </mc:AlternateContent>
  <bookViews>
    <workbookView xWindow="0" yWindow="0" windowWidth="20730" windowHeight="11760"/>
  </bookViews>
  <sheets>
    <sheet name="Table.229" sheetId="1" r:id="rId1"/>
    <sheet name="Table.230" sheetId="8" r:id="rId2"/>
    <sheet name="Table.231" sheetId="9" r:id="rId3"/>
    <sheet name="Table.232" sheetId="19" r:id="rId4"/>
    <sheet name="Table.233" sheetId="20" r:id="rId5"/>
    <sheet name="Table.234" sheetId="21" r:id="rId6"/>
    <sheet name="Table.235" sheetId="22" r:id="rId7"/>
    <sheet name="Table.236" sheetId="23" r:id="rId8"/>
  </sheets>
  <definedNames>
    <definedName name="_xlnm.Print_Area" localSheetId="0">Table.229!$A$1:$G$17</definedName>
    <definedName name="_xlnm.Print_Area" localSheetId="1">Table.230!$A$1:$G$10</definedName>
    <definedName name="_xlnm.Print_Area" localSheetId="2">Table.231!$A$1:$G$11</definedName>
    <definedName name="_xlnm.Print_Area" localSheetId="3">Table.232!$A$1:$G$10</definedName>
    <definedName name="_xlnm.Print_Area" localSheetId="4">Table.233!$A$1:$G$10</definedName>
  </definedNames>
  <calcPr calcId="162913" iterateDelta="0"/>
</workbook>
</file>

<file path=xl/calcChain.xml><?xml version="1.0" encoding="utf-8"?>
<calcChain xmlns="http://schemas.openxmlformats.org/spreadsheetml/2006/main">
  <c r="G7" i="23" l="1"/>
  <c r="G8" i="23"/>
  <c r="G9" i="23"/>
  <c r="G10" i="23"/>
  <c r="G6" i="23"/>
  <c r="G6" i="20" l="1"/>
  <c r="F6" i="20"/>
  <c r="E6" i="20"/>
  <c r="C6" i="20"/>
  <c r="G6" i="19"/>
  <c r="F6" i="19"/>
  <c r="E6" i="19"/>
  <c r="C6" i="19"/>
  <c r="G6" i="8"/>
  <c r="G5" i="8"/>
  <c r="G8" i="8"/>
  <c r="G7" i="8"/>
  <c r="G4" i="8"/>
  <c r="E8" i="8"/>
  <c r="E7" i="8"/>
  <c r="D6" i="8"/>
  <c r="E6" i="8"/>
  <c r="E5" i="8"/>
  <c r="E4" i="8"/>
  <c r="D8" i="8"/>
  <c r="D7" i="8"/>
  <c r="D5" i="8"/>
  <c r="D4" i="8"/>
  <c r="C6" i="8"/>
  <c r="C5" i="8"/>
  <c r="C4" i="8" l="1"/>
  <c r="C8" i="8"/>
  <c r="C7" i="8"/>
  <c r="G13" i="1"/>
  <c r="G12" i="1"/>
  <c r="G11" i="1"/>
  <c r="G10" i="1"/>
  <c r="G9" i="1"/>
  <c r="G8" i="1"/>
  <c r="G7" i="1"/>
  <c r="G6" i="1"/>
  <c r="G5" i="1"/>
  <c r="G4" i="1"/>
  <c r="F13" i="1"/>
  <c r="F5" i="1"/>
  <c r="F12" i="1"/>
  <c r="F11" i="1"/>
  <c r="F10" i="1"/>
  <c r="F9" i="1"/>
  <c r="F8" i="1"/>
  <c r="F7" i="1"/>
  <c r="F6" i="1"/>
  <c r="F4" i="1"/>
  <c r="E13" i="1"/>
  <c r="E12" i="1"/>
  <c r="E11" i="1"/>
  <c r="E10" i="1"/>
  <c r="E9" i="1"/>
  <c r="E8" i="1"/>
  <c r="E7" i="1"/>
  <c r="E6" i="1"/>
  <c r="E5" i="1"/>
  <c r="E4" i="1"/>
  <c r="D13" i="1"/>
  <c r="D12" i="1"/>
  <c r="D11" i="1"/>
  <c r="D10" i="1"/>
  <c r="D9" i="1"/>
  <c r="D8" i="1"/>
  <c r="D7" i="1"/>
  <c r="D6" i="1"/>
  <c r="D5" i="1"/>
  <c r="D4" i="1"/>
  <c r="C13" i="1" l="1"/>
  <c r="C12" i="1"/>
  <c r="C11" i="1"/>
  <c r="C10" i="1"/>
  <c r="C9" i="1"/>
  <c r="C8" i="1"/>
  <c r="C7" i="1"/>
  <c r="C6" i="1"/>
  <c r="C5" i="1"/>
  <c r="C4" i="1"/>
  <c r="B6" i="23" l="1"/>
  <c r="C6" i="23"/>
  <c r="E6" i="23" s="1"/>
  <c r="D6" i="23"/>
  <c r="F6" i="23" s="1"/>
  <c r="I6" i="23"/>
  <c r="J6" i="23"/>
  <c r="E7" i="23"/>
  <c r="F7" i="23"/>
  <c r="H7" i="23"/>
  <c r="E8" i="23"/>
  <c r="F8" i="23"/>
  <c r="H8" i="23"/>
  <c r="E9" i="23"/>
  <c r="F9" i="23"/>
  <c r="H9" i="23"/>
  <c r="E10" i="23"/>
  <c r="F10" i="23"/>
  <c r="H10" i="23"/>
  <c r="B6" i="22"/>
  <c r="C6" i="22"/>
  <c r="D6" i="22"/>
  <c r="E6" i="22"/>
  <c r="F6" i="22"/>
  <c r="G6" i="22"/>
  <c r="E7" i="22"/>
  <c r="F7" i="22"/>
  <c r="G7" i="22"/>
  <c r="E8" i="22"/>
  <c r="F8" i="22"/>
  <c r="G8" i="22"/>
  <c r="E9" i="22"/>
  <c r="F9" i="22"/>
  <c r="G9" i="22"/>
  <c r="E10" i="22"/>
  <c r="F10" i="22"/>
  <c r="G10" i="22"/>
  <c r="H6" i="23" l="1"/>
  <c r="G5" i="20"/>
  <c r="F5" i="20"/>
  <c r="E5" i="20"/>
  <c r="G5" i="19"/>
  <c r="F5" i="19"/>
  <c r="E5" i="19"/>
  <c r="D6" i="20" l="1"/>
  <c r="D5" i="20"/>
  <c r="D6" i="19"/>
  <c r="D5" i="19"/>
  <c r="F8" i="8"/>
  <c r="F7" i="8"/>
  <c r="F6" i="8"/>
  <c r="F5" i="8"/>
  <c r="F4" i="8"/>
  <c r="C5" i="20"/>
  <c r="C5" i="19"/>
  <c r="P16" i="21" l="1"/>
  <c r="L16" i="21"/>
  <c r="M16" i="21" s="1"/>
  <c r="H16" i="21"/>
  <c r="D16" i="21"/>
  <c r="P12" i="21"/>
  <c r="L12" i="21"/>
  <c r="H12" i="21"/>
  <c r="D12" i="21"/>
  <c r="P8" i="21"/>
  <c r="L8" i="21"/>
  <c r="H8" i="21"/>
  <c r="D8" i="21"/>
  <c r="Q8" i="21" l="1"/>
  <c r="E8" i="21"/>
  <c r="E12" i="21"/>
  <c r="E16" i="21"/>
  <c r="M8" i="21"/>
  <c r="M12" i="21"/>
  <c r="Q12" i="21"/>
  <c r="Q16" i="21"/>
  <c r="I8" i="21"/>
  <c r="I12" i="21"/>
  <c r="I16" i="21"/>
</calcChain>
</file>

<file path=xl/sharedStrings.xml><?xml version="1.0" encoding="utf-8"?>
<sst xmlns="http://schemas.openxmlformats.org/spreadsheetml/2006/main" count="188" uniqueCount="110">
  <si>
    <t>Variable</t>
  </si>
  <si>
    <t>Pakistan</t>
  </si>
  <si>
    <t>Punjab</t>
  </si>
  <si>
    <t>Cultivated Area as % of reported Area.</t>
  </si>
  <si>
    <t>Irrigated Area as % of cultivated Area</t>
  </si>
  <si>
    <t>Forest Area as % of reported Area</t>
  </si>
  <si>
    <t>Culturable waste as % of reported Area</t>
  </si>
  <si>
    <t>Reported Area as % of Geographical Area</t>
  </si>
  <si>
    <t>Forest Area as % of Geographical Area</t>
  </si>
  <si>
    <t>Land use intensity %</t>
  </si>
  <si>
    <t>Cropping intensity %</t>
  </si>
  <si>
    <t>Item</t>
  </si>
  <si>
    <t>Unit</t>
  </si>
  <si>
    <t>Wheat</t>
  </si>
  <si>
    <t>K.G</t>
  </si>
  <si>
    <t>Rice</t>
  </si>
  <si>
    <t>Maize</t>
  </si>
  <si>
    <t>Sugarcane</t>
  </si>
  <si>
    <t>Gram</t>
  </si>
  <si>
    <t>Cotton</t>
  </si>
  <si>
    <t>Production</t>
  </si>
  <si>
    <t xml:space="preserve"> 000 Tonnes</t>
  </si>
  <si>
    <t>In Kg</t>
  </si>
  <si>
    <t xml:space="preserve">Production </t>
  </si>
  <si>
    <t>000 tonnes</t>
  </si>
  <si>
    <t>Persons</t>
  </si>
  <si>
    <t>Population per Irrigated Hectares</t>
  </si>
  <si>
    <t xml:space="preserve">Population per Cultivated Hectares </t>
  </si>
  <si>
    <t xml:space="preserve">Pakistan </t>
  </si>
  <si>
    <t xml:space="preserve">Punjab </t>
  </si>
  <si>
    <t>Khyber Pakhtunkhwa</t>
  </si>
  <si>
    <t>Khyber
Pakhtunkhwa</t>
  </si>
  <si>
    <t>2. Crop Reporting Services of K.P, Peshawar.</t>
  </si>
  <si>
    <t xml:space="preserve">Balochistan
</t>
  </si>
  <si>
    <t>Balochistan</t>
  </si>
  <si>
    <t>Sindh</t>
  </si>
  <si>
    <t>1. Crop Reporting Services of K.P, Peshawar.</t>
  </si>
  <si>
    <t xml:space="preserve">                                                                      </t>
  </si>
  <si>
    <t>2. Crop reporting Services of Khyber Pakhtunkhwa, Peshawar.</t>
  </si>
  <si>
    <r>
      <t xml:space="preserve">                           </t>
    </r>
    <r>
      <rPr>
        <b/>
        <sz val="9"/>
        <rFont val="Arial"/>
        <family val="2"/>
      </rPr>
      <t xml:space="preserve">  Source: </t>
    </r>
    <r>
      <rPr>
        <sz val="9"/>
        <rFont val="Arial"/>
        <family val="2"/>
      </rPr>
      <t xml:space="preserve">                         </t>
    </r>
  </si>
  <si>
    <t>Source:</t>
  </si>
  <si>
    <t xml:space="preserve">Source:  </t>
  </si>
  <si>
    <t xml:space="preserve">Source: </t>
  </si>
  <si>
    <t xml:space="preserve">Khyber
Pakhtunkhwa </t>
  </si>
  <si>
    <t>%age</t>
  </si>
  <si>
    <t>Description</t>
  </si>
  <si>
    <t>(Area in 000 Hec:) (Production in 000 Tonnes) (Yeild Per Hectare in Kg)</t>
  </si>
  <si>
    <t>Year</t>
  </si>
  <si>
    <t>Area</t>
  </si>
  <si>
    <t>Yield per Hectare</t>
  </si>
  <si>
    <t>% variation of yield over the preceding year</t>
  </si>
  <si>
    <t>WHEAT</t>
  </si>
  <si>
    <t>2016-17</t>
  </si>
  <si>
    <t>2017-18</t>
  </si>
  <si>
    <t>SUGARCANE</t>
  </si>
  <si>
    <t>TOBACCO</t>
  </si>
  <si>
    <t>Per capita Production</t>
  </si>
  <si>
    <t>Production (Net availablilty)</t>
  </si>
  <si>
    <t>2018-19</t>
  </si>
  <si>
    <r>
      <t xml:space="preserve">Source:  </t>
    </r>
    <r>
      <rPr>
        <sz val="9"/>
        <rFont val="Arial"/>
        <family val="2"/>
      </rPr>
      <t>Agriculture Statistics of Pakistan 2018-19</t>
    </r>
  </si>
  <si>
    <t xml:space="preserve">Punjab
</t>
  </si>
  <si>
    <t xml:space="preserve">Sindh
</t>
  </si>
  <si>
    <r>
      <t>Source:</t>
    </r>
    <r>
      <rPr>
        <sz val="9"/>
        <rFont val="Arial"/>
        <family val="2"/>
      </rPr>
      <t xml:space="preserve">     Pakistan Census of Agriculture Machinery 2004</t>
    </r>
  </si>
  <si>
    <t>PAKISTAN</t>
  </si>
  <si>
    <t>2004 over 1994</t>
  </si>
  <si>
    <t>1994 over 1984</t>
  </si>
  <si>
    <t>Percentage increase in</t>
  </si>
  <si>
    <t>No.of Tubewells/Lift Pumps by Census</t>
  </si>
  <si>
    <t>Administrative Unit</t>
  </si>
  <si>
    <r>
      <t xml:space="preserve">Source:   </t>
    </r>
    <r>
      <rPr>
        <sz val="9"/>
        <rFont val="Arial"/>
        <family val="2"/>
      </rPr>
      <t xml:space="preserve"> Pakistan Census of Agriculture Machinery 2004</t>
    </r>
  </si>
  <si>
    <t xml:space="preserve"> </t>
  </si>
  <si>
    <t>Government</t>
  </si>
  <si>
    <t>Private</t>
  </si>
  <si>
    <t>Total</t>
  </si>
  <si>
    <t>Number of Tractors</t>
  </si>
  <si>
    <t>Percentage increase</t>
  </si>
  <si>
    <t>No. of Tractors</t>
  </si>
  <si>
    <t>Tractors by Type of Ownership 2004</t>
  </si>
  <si>
    <t>Tractors as per 1984, 1994 &amp; 2004 Censuses</t>
  </si>
  <si>
    <t>1. Pakistan Statistical Year Book for the year 2019</t>
  </si>
  <si>
    <t>Pakistan Statistical Year Book 2019</t>
  </si>
  <si>
    <t>2. Pakistan Statistical Year Book 2019</t>
  </si>
  <si>
    <t>1. Pakistan Statistical Year Book 2019</t>
  </si>
  <si>
    <r>
      <t xml:space="preserve">P = </t>
    </r>
    <r>
      <rPr>
        <sz val="9"/>
        <rFont val="Arial"/>
        <family val="2"/>
      </rPr>
      <t>Provisional</t>
    </r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</si>
  <si>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 Agriculture Statistics of Pakistan for the year 2018-19</t>
    </r>
  </si>
  <si>
    <t xml:space="preserve">Production (Net availablity) </t>
  </si>
  <si>
    <r>
      <rPr>
        <b/>
        <sz val="9"/>
        <rFont val="Arial"/>
        <family val="2"/>
      </rPr>
      <t xml:space="preserve">R = </t>
    </r>
    <r>
      <rPr>
        <sz val="9"/>
        <rFont val="Arial"/>
        <family val="2"/>
      </rPr>
      <t>Repeated</t>
    </r>
  </si>
  <si>
    <t>2004 over 1984</t>
  </si>
  <si>
    <t>1994
over
1984</t>
  </si>
  <si>
    <t>2004
over
1994</t>
  </si>
  <si>
    <t>2004
over
1984</t>
  </si>
  <si>
    <t>2018-19 ( R )</t>
  </si>
  <si>
    <t xml:space="preserve">Sindh  </t>
  </si>
  <si>
    <r>
      <rPr>
        <b/>
        <sz val="9"/>
        <rFont val="Arial"/>
        <family val="2"/>
      </rPr>
      <t xml:space="preserve">P </t>
    </r>
    <r>
      <rPr>
        <sz val="9"/>
        <rFont val="Arial"/>
        <family val="2"/>
      </rPr>
      <t>= Provisional</t>
    </r>
  </si>
  <si>
    <t>Table No. 229</t>
  </si>
  <si>
    <t>Table No. 230</t>
  </si>
  <si>
    <t>Table No. 231</t>
  </si>
  <si>
    <t>Table No. 232</t>
  </si>
  <si>
    <t>Table No. 233</t>
  </si>
  <si>
    <t>Table No.234</t>
  </si>
  <si>
    <t xml:space="preserve">Table No. 235                                                </t>
  </si>
  <si>
    <t xml:space="preserve">Table No. 236                                               </t>
  </si>
  <si>
    <t>PER CAPITA PRODUCTION OF 
MAJOR CROPS 2018-19 (P)</t>
  </si>
  <si>
    <t>YIELD PER HECTARE OF 
MAJOR CROPS  2018-19 (P)</t>
  </si>
  <si>
    <t>LAND UTILIZATION STATISTICS (P)</t>
  </si>
  <si>
    <t>RICE PRODUCTION AND REQUIREMENT 
FOR THE YEAR 2018-19</t>
  </si>
  <si>
    <t>WHEAT PRODUCTION AND REQUIREMENT
FOR THE YEAR 2018-19</t>
  </si>
  <si>
    <t>AREA, PRODUCTION, YIELD PER HECTARE AND PERCENTAGE VARIATION OF YIELD OF WHEAT, SUGARCANE AND TOBACCO</t>
  </si>
  <si>
    <t>NUMBER OF TUBEWELLS AND LIFT PUMPS
AS PER 1984, 1994 &amp; 2004 CENSUSES</t>
  </si>
  <si>
    <t>NUMBER OF TRACTORS BY TYPE AS PER 1984, 1994 &amp; 2004 CENSUSES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</si>
</sst>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0"/>
    <numFmt numFmtId="167" formatCode="_-* #,##0_-;\-* #,##0_-;_-* &quot;-&quot;??_-;_-@_-"/>
    <numFmt numFmtId="168" formatCode="_-* #,##0.0_-;\-* #,##0.0_-;_-* &quot;-&quot;??_-;_-@_-"/>
    <numFmt numFmtId="169" formatCode="_(* #,##0_);_(* \(#,##0\);_(* &quot;-&quot;??_);_(@_)"/>
    <numFmt numFmtId="170" formatCode="_-* #,##0.00000_-;\-* #,##0.00000_-;_-* &quot;-&quot;??_-;_-@_-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left" indent="4"/>
    </xf>
    <xf numFmtId="0" fontId="3" fillId="0" borderId="0" xfId="0" applyFont="1" applyFill="1" applyBorder="1"/>
    <xf numFmtId="0" fontId="2" fillId="0" borderId="0" xfId="0" applyFont="1"/>
    <xf numFmtId="166" fontId="0" fillId="0" borderId="0" xfId="0" applyNumberFormat="1"/>
    <xf numFmtId="1" fontId="5" fillId="0" borderId="0" xfId="0" applyNumberFormat="1" applyFont="1" applyFill="1" applyBorder="1" applyAlignment="1">
      <alignment vertical="center"/>
    </xf>
    <xf numFmtId="0" fontId="3" fillId="0" borderId="0" xfId="2" applyFont="1" applyFill="1"/>
    <xf numFmtId="0" fontId="3" fillId="3" borderId="0" xfId="2" applyFont="1" applyFill="1"/>
    <xf numFmtId="2" fontId="3" fillId="3" borderId="0" xfId="2" applyNumberFormat="1" applyFont="1" applyFill="1"/>
    <xf numFmtId="0" fontId="3" fillId="3" borderId="2" xfId="2" applyFont="1" applyFill="1" applyBorder="1" applyAlignment="1">
      <alignment horizontal="right"/>
    </xf>
    <xf numFmtId="0" fontId="3" fillId="0" borderId="0" xfId="2" applyFont="1" applyFill="1" applyAlignment="1">
      <alignment wrapText="1"/>
    </xf>
    <xf numFmtId="0" fontId="8" fillId="3" borderId="1" xfId="2" applyFont="1" applyFill="1" applyBorder="1" applyAlignment="1">
      <alignment horizontal="center" vertical="center" textRotation="90" wrapText="1"/>
    </xf>
    <xf numFmtId="165" fontId="2" fillId="3" borderId="1" xfId="2" applyNumberFormat="1" applyFont="1" applyFill="1" applyBorder="1" applyAlignment="1">
      <alignment vertical="center"/>
    </xf>
    <xf numFmtId="1" fontId="2" fillId="3" borderId="1" xfId="2" applyNumberFormat="1" applyFont="1" applyFill="1" applyBorder="1" applyAlignment="1">
      <alignment horizontal="left" vertical="center"/>
    </xf>
    <xf numFmtId="0" fontId="3" fillId="0" borderId="0" xfId="2" applyFont="1" applyFill="1" applyAlignment="1">
      <alignment horizontal="left" indent="4"/>
    </xf>
    <xf numFmtId="43" fontId="2" fillId="3" borderId="1" xfId="1" applyFont="1" applyFill="1" applyBorder="1" applyAlignment="1">
      <alignment vertical="center"/>
    </xf>
    <xf numFmtId="168" fontId="2" fillId="3" borderId="1" xfId="1" applyNumberFormat="1" applyFont="1" applyFill="1" applyBorder="1" applyAlignment="1">
      <alignment vertical="center"/>
    </xf>
    <xf numFmtId="167" fontId="2" fillId="3" borderId="1" xfId="1" applyNumberFormat="1" applyFont="1" applyFill="1" applyBorder="1" applyAlignment="1">
      <alignment vertical="center"/>
    </xf>
    <xf numFmtId="2" fontId="2" fillId="3" borderId="1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4" fillId="3" borderId="0" xfId="0" applyNumberFormat="1" applyFont="1" applyFill="1" applyBorder="1" applyAlignment="1">
      <alignment vertical="center"/>
    </xf>
    <xf numFmtId="0" fontId="3" fillId="3" borderId="0" xfId="0" applyFont="1" applyFill="1"/>
    <xf numFmtId="0" fontId="0" fillId="3" borderId="0" xfId="0" applyFill="1" applyAlignment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indent="4"/>
    </xf>
    <xf numFmtId="0" fontId="0" fillId="2" borderId="0" xfId="0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1" fontId="5" fillId="0" borderId="0" xfId="0" applyNumberFormat="1" applyFont="1" applyFill="1"/>
    <xf numFmtId="1" fontId="0" fillId="0" borderId="0" xfId="0" applyNumberForma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left" indent="4"/>
    </xf>
    <xf numFmtId="170" fontId="0" fillId="0" borderId="0" xfId="0" applyNumberFormat="1"/>
    <xf numFmtId="164" fontId="0" fillId="0" borderId="0" xfId="0" applyNumberFormat="1"/>
    <xf numFmtId="169" fontId="2" fillId="3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9" fontId="2" fillId="0" borderId="1" xfId="1" applyNumberFormat="1" applyFont="1" applyFill="1" applyBorder="1" applyAlignment="1">
      <alignment vertical="center"/>
    </xf>
    <xf numFmtId="0" fontId="0" fillId="2" borderId="0" xfId="0" applyFill="1"/>
    <xf numFmtId="0" fontId="3" fillId="2" borderId="0" xfId="0" applyFont="1" applyFill="1"/>
    <xf numFmtId="2" fontId="2" fillId="2" borderId="0" xfId="0" applyNumberFormat="1" applyFont="1" applyFill="1"/>
    <xf numFmtId="2" fontId="0" fillId="2" borderId="0" xfId="0" applyNumberFormat="1" applyFill="1"/>
    <xf numFmtId="1" fontId="0" fillId="2" borderId="0" xfId="0" applyNumberFormat="1" applyFill="1"/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/>
    <xf numFmtId="0" fontId="0" fillId="2" borderId="0" xfId="0" applyFill="1" applyAlignment="1"/>
    <xf numFmtId="0" fontId="0" fillId="2" borderId="0" xfId="0" applyFill="1" applyBorder="1"/>
    <xf numFmtId="165" fontId="2" fillId="2" borderId="3" xfId="0" applyNumberFormat="1" applyFont="1" applyFill="1" applyBorder="1" applyAlignment="1">
      <alignment vertical="center"/>
    </xf>
    <xf numFmtId="0" fontId="2" fillId="2" borderId="0" xfId="0" applyFont="1" applyFill="1"/>
    <xf numFmtId="0" fontId="4" fillId="2" borderId="0" xfId="0" applyFont="1" applyFill="1"/>
    <xf numFmtId="1" fontId="0" fillId="2" borderId="0" xfId="0" applyNumberFormat="1" applyFill="1" applyBorder="1" applyAlignment="1">
      <alignment vertical="center"/>
    </xf>
    <xf numFmtId="0" fontId="2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0" fontId="2" fillId="0" borderId="0" xfId="2" applyFont="1" applyBorder="1" applyAlignment="1">
      <alignment vertical="center"/>
    </xf>
    <xf numFmtId="167" fontId="9" fillId="0" borderId="1" xfId="3" applyNumberFormat="1" applyFont="1" applyBorder="1" applyAlignment="1">
      <alignment vertical="center"/>
    </xf>
    <xf numFmtId="0" fontId="9" fillId="0" borderId="1" xfId="2" applyFont="1" applyBorder="1" applyAlignment="1">
      <alignment vertical="center"/>
    </xf>
    <xf numFmtId="167" fontId="10" fillId="0" borderId="1" xfId="3" applyNumberFormat="1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0" xfId="2" applyFont="1" applyBorder="1"/>
    <xf numFmtId="0" fontId="2" fillId="0" borderId="0" xfId="2"/>
    <xf numFmtId="0" fontId="3" fillId="0" borderId="0" xfId="2" applyFont="1"/>
    <xf numFmtId="0" fontId="4" fillId="0" borderId="0" xfId="2" applyFont="1" applyBorder="1" applyAlignment="1">
      <alignment horizontal="right"/>
    </xf>
    <xf numFmtId="167" fontId="0" fillId="0" borderId="1" xfId="3" applyNumberFormat="1" applyFont="1" applyBorder="1" applyAlignment="1">
      <alignment vertical="center"/>
    </xf>
    <xf numFmtId="167" fontId="2" fillId="0" borderId="1" xfId="3" applyNumberFormat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167" fontId="1" fillId="0" borderId="1" xfId="3" applyNumberFormat="1" applyFont="1" applyBorder="1" applyAlignment="1">
      <alignment horizontal="right" vertical="center"/>
    </xf>
    <xf numFmtId="0" fontId="1" fillId="0" borderId="1" xfId="2" applyFont="1" applyBorder="1" applyAlignment="1">
      <alignment vertical="center"/>
    </xf>
    <xf numFmtId="0" fontId="2" fillId="0" borderId="0" xfId="2" applyAlignment="1">
      <alignment vertical="center" wrapText="1"/>
    </xf>
    <xf numFmtId="0" fontId="11" fillId="0" borderId="0" xfId="2" applyFont="1"/>
    <xf numFmtId="0" fontId="3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165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7" fontId="2" fillId="0" borderId="0" xfId="1" applyNumberFormat="1" applyFont="1" applyFill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4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1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Border="1"/>
    <xf numFmtId="1" fontId="2" fillId="2" borderId="3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0" fontId="2" fillId="0" borderId="0" xfId="2" applyAlignment="1">
      <alignment vertical="center"/>
    </xf>
    <xf numFmtId="0" fontId="3" fillId="0" borderId="0" xfId="2" applyFont="1" applyAlignment="1"/>
    <xf numFmtId="0" fontId="1" fillId="0" borderId="1" xfId="2" applyFont="1" applyBorder="1" applyAlignment="1">
      <alignment horizontal="center" vertical="center" wrapText="1"/>
    </xf>
    <xf numFmtId="169" fontId="1" fillId="0" borderId="1" xfId="3" applyNumberFormat="1" applyFont="1" applyBorder="1" applyAlignment="1">
      <alignment horizontal="right" vertical="center"/>
    </xf>
    <xf numFmtId="169" fontId="2" fillId="0" borderId="1" xfId="3" applyNumberFormat="1" applyFont="1" applyBorder="1" applyAlignment="1">
      <alignment horizontal="right" vertical="center"/>
    </xf>
    <xf numFmtId="43" fontId="2" fillId="3" borderId="1" xfId="1" applyNumberFormat="1" applyFont="1" applyFill="1" applyBorder="1" applyAlignment="1">
      <alignment vertical="center"/>
    </xf>
    <xf numFmtId="49" fontId="2" fillId="3" borderId="1" xfId="2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7" fillId="0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" fillId="3" borderId="1" xfId="2" applyFont="1" applyFill="1" applyBorder="1" applyAlignment="1">
      <alignment horizontal="center" vertical="center"/>
    </xf>
    <xf numFmtId="165" fontId="1" fillId="3" borderId="1" xfId="2" applyNumberFormat="1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/>
    </xf>
    <xf numFmtId="0" fontId="4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 vertical="top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top" wrapText="1"/>
    </xf>
    <xf numFmtId="0" fontId="1" fillId="0" borderId="4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98" zoomScaleSheetLayoutView="98" workbookViewId="0">
      <selection activeCell="A2" sqref="A2"/>
    </sheetView>
  </sheetViews>
  <sheetFormatPr defaultRowHeight="12.75" x14ac:dyDescent="0.2"/>
  <cols>
    <col min="1" max="1" width="36.28515625" style="62" customWidth="1"/>
    <col min="2" max="7" width="8.5703125" style="62" customWidth="1"/>
    <col min="8" max="8" width="11.5703125" style="62" bestFit="1" customWidth="1"/>
    <col min="9" max="16384" width="9.140625" style="62"/>
  </cols>
  <sheetData>
    <row r="1" spans="1:10" ht="60" customHeight="1" x14ac:dyDescent="0.2">
      <c r="A1" s="137" t="s">
        <v>104</v>
      </c>
      <c r="B1" s="137"/>
      <c r="C1" s="137"/>
      <c r="D1" s="137"/>
      <c r="E1" s="137"/>
      <c r="F1" s="137"/>
      <c r="G1" s="137"/>
    </row>
    <row r="2" spans="1:10" s="63" customFormat="1" ht="12" x14ac:dyDescent="0.2">
      <c r="A2" s="54" t="s">
        <v>94</v>
      </c>
      <c r="B2" s="54"/>
      <c r="C2" s="54"/>
      <c r="D2" s="54"/>
      <c r="E2" s="54"/>
      <c r="F2" s="54"/>
      <c r="G2" s="95"/>
    </row>
    <row r="3" spans="1:10" ht="76.5" customHeight="1" x14ac:dyDescent="0.2">
      <c r="A3" s="42" t="s">
        <v>0</v>
      </c>
      <c r="B3" s="96" t="s">
        <v>12</v>
      </c>
      <c r="C3" s="96" t="s">
        <v>28</v>
      </c>
      <c r="D3" s="96" t="s">
        <v>60</v>
      </c>
      <c r="E3" s="96" t="s">
        <v>61</v>
      </c>
      <c r="F3" s="96" t="s">
        <v>30</v>
      </c>
      <c r="G3" s="96" t="s">
        <v>33</v>
      </c>
    </row>
    <row r="4" spans="1:10" ht="24.95" customHeight="1" x14ac:dyDescent="0.2">
      <c r="A4" s="122" t="s">
        <v>3</v>
      </c>
      <c r="B4" s="44" t="s">
        <v>44</v>
      </c>
      <c r="C4" s="98">
        <f>22.06/58.04*100</f>
        <v>38.008270158511372</v>
      </c>
      <c r="D4" s="98">
        <f>12.6/17.54*100</f>
        <v>71.835803876852907</v>
      </c>
      <c r="E4" s="98">
        <f>4.56/14.09*100</f>
        <v>32.363378282469832</v>
      </c>
      <c r="F4" s="98">
        <f>1.87/8.36*100</f>
        <v>22.368421052631582</v>
      </c>
      <c r="G4" s="98">
        <f>3.23/18.06*100</f>
        <v>17.88482834994463</v>
      </c>
      <c r="H4" s="64"/>
      <c r="I4" s="65"/>
    </row>
    <row r="5" spans="1:10" ht="24.95" customHeight="1" x14ac:dyDescent="0.2">
      <c r="A5" s="122" t="s">
        <v>4</v>
      </c>
      <c r="B5" s="44" t="s">
        <v>44</v>
      </c>
      <c r="C5" s="98">
        <f>18.33/22.06*100</f>
        <v>83.091568449682683</v>
      </c>
      <c r="D5" s="98">
        <f>12.58/12.6*100</f>
        <v>99.841269841269849</v>
      </c>
      <c r="E5" s="98">
        <f>1.65/4.56*100</f>
        <v>36.184210526315788</v>
      </c>
      <c r="F5" s="98">
        <f>0.93/1.87*100</f>
        <v>49.732620320855617</v>
      </c>
      <c r="G5" s="98">
        <f>1.01/3.23*100</f>
        <v>31.269349845201237</v>
      </c>
      <c r="H5" s="65"/>
      <c r="I5" s="65"/>
    </row>
    <row r="6" spans="1:10" ht="24.95" customHeight="1" x14ac:dyDescent="0.2">
      <c r="A6" s="122" t="s">
        <v>5</v>
      </c>
      <c r="B6" s="44" t="s">
        <v>44</v>
      </c>
      <c r="C6" s="98">
        <f>3.91/58.04*100</f>
        <v>6.7367332873880077</v>
      </c>
      <c r="D6" s="98">
        <f>0.48/17.54*100</f>
        <v>2.7366020524515395</v>
      </c>
      <c r="E6" s="98">
        <f>1.03/14.09*100</f>
        <v>7.310149041873669</v>
      </c>
      <c r="F6" s="98">
        <f>1.24/8.36*100</f>
        <v>14.832535885167463</v>
      </c>
      <c r="G6" s="98">
        <f>1.16/18.06*100</f>
        <v>6.4230343300110739</v>
      </c>
      <c r="H6" s="65"/>
      <c r="I6" s="65"/>
    </row>
    <row r="7" spans="1:10" ht="24.95" customHeight="1" x14ac:dyDescent="0.2">
      <c r="A7" s="122" t="s">
        <v>6</v>
      </c>
      <c r="B7" s="44" t="s">
        <v>44</v>
      </c>
      <c r="C7" s="98">
        <f>8.28/58.04*100</f>
        <v>14.266023432115782</v>
      </c>
      <c r="D7" s="98">
        <f>1.51/17.54*100</f>
        <v>8.6088939566704692</v>
      </c>
      <c r="E7" s="98">
        <f>1.61/14.09*100</f>
        <v>11.42654364797729</v>
      </c>
      <c r="F7" s="98">
        <f>1.32/8.36*100</f>
        <v>15.789473684210527</v>
      </c>
      <c r="G7" s="98">
        <f>3.84/18.06*100</f>
        <v>21.262458471760798</v>
      </c>
      <c r="H7" s="65"/>
      <c r="I7" s="65"/>
    </row>
    <row r="8" spans="1:10" ht="24.95" customHeight="1" x14ac:dyDescent="0.2">
      <c r="A8" s="123" t="s">
        <v>7</v>
      </c>
      <c r="B8" s="44" t="s">
        <v>44</v>
      </c>
      <c r="C8" s="98">
        <f>58.04/79.61*100</f>
        <v>72.90541389272704</v>
      </c>
      <c r="D8" s="98">
        <f>17.54/20.63*100</f>
        <v>85.021812893843915</v>
      </c>
      <c r="E8" s="98">
        <f>14.09/14.09*100</f>
        <v>100</v>
      </c>
      <c r="F8" s="98">
        <f>8.36/10.17*100</f>
        <v>82.202556538839715</v>
      </c>
      <c r="G8" s="98">
        <f>18.06/34.72*100</f>
        <v>52.016129032258064</v>
      </c>
      <c r="H8" s="65"/>
    </row>
    <row r="9" spans="1:10" ht="24.95" customHeight="1" x14ac:dyDescent="0.2">
      <c r="A9" s="122" t="s">
        <v>8</v>
      </c>
      <c r="B9" s="44" t="s">
        <v>44</v>
      </c>
      <c r="C9" s="98">
        <f>3.91/79.61*100</f>
        <v>4.9114432860193444</v>
      </c>
      <c r="D9" s="98">
        <f>0.48/20.63*100</f>
        <v>2.3267086766844405</v>
      </c>
      <c r="E9" s="98">
        <f>1.03/14.09*100</f>
        <v>7.310149041873669</v>
      </c>
      <c r="F9" s="98">
        <f>1.24/10.17*100</f>
        <v>12.192723697148477</v>
      </c>
      <c r="G9" s="98">
        <f>1.16/14.72*100</f>
        <v>7.8804347826086945</v>
      </c>
      <c r="H9" s="65"/>
    </row>
    <row r="10" spans="1:10" ht="24.95" customHeight="1" x14ac:dyDescent="0.2">
      <c r="A10" s="122" t="s">
        <v>9</v>
      </c>
      <c r="B10" s="44" t="s">
        <v>44</v>
      </c>
      <c r="C10" s="98">
        <f>22.06/30.34*100</f>
        <v>72.709294660514161</v>
      </c>
      <c r="D10" s="98">
        <f>12.6/14.11*100</f>
        <v>89.298369950389798</v>
      </c>
      <c r="E10" s="98">
        <f>4.56/6.17*100</f>
        <v>73.905996758508905</v>
      </c>
      <c r="F10" s="98">
        <f>1.87/3.19*100</f>
        <v>58.62068965517242</v>
      </c>
      <c r="G10" s="98">
        <f>3.23/7.07*100</f>
        <v>45.685997171145679</v>
      </c>
      <c r="H10" s="65"/>
    </row>
    <row r="11" spans="1:10" ht="24.95" customHeight="1" x14ac:dyDescent="0.2">
      <c r="A11" s="122" t="s">
        <v>10</v>
      </c>
      <c r="B11" s="44" t="s">
        <v>44</v>
      </c>
      <c r="C11" s="98">
        <f>22.64/22.06*100</f>
        <v>102.62919310970082</v>
      </c>
      <c r="D11" s="98">
        <f>16.68/12.6*100</f>
        <v>132.38095238095238</v>
      </c>
      <c r="E11" s="98">
        <f>3.09/4.56*100</f>
        <v>67.76315789473685</v>
      </c>
      <c r="F11" s="98">
        <f>1.86/1.87*100</f>
        <v>99.465240641711233</v>
      </c>
      <c r="G11" s="98">
        <f>1.02/3.23*100</f>
        <v>31.578947368421051</v>
      </c>
      <c r="H11" s="64"/>
    </row>
    <row r="12" spans="1:10" ht="24.95" customHeight="1" x14ac:dyDescent="0.2">
      <c r="A12" s="122" t="s">
        <v>27</v>
      </c>
      <c r="B12" s="44" t="s">
        <v>25</v>
      </c>
      <c r="C12" s="99">
        <f>211.18/22.06</f>
        <v>9.5729827742520399</v>
      </c>
      <c r="D12" s="99">
        <f>114.14/12.6</f>
        <v>9.0587301587301585</v>
      </c>
      <c r="E12" s="99">
        <f>49.6/4.56</f>
        <v>10.877192982456142</v>
      </c>
      <c r="F12" s="99">
        <f>29.66/1.87</f>
        <v>15.860962566844918</v>
      </c>
      <c r="G12" s="99">
        <f>11.19/3.23</f>
        <v>3.4643962848297214</v>
      </c>
      <c r="H12" s="66"/>
      <c r="I12" s="66"/>
      <c r="J12" s="67"/>
    </row>
    <row r="13" spans="1:10" ht="24.95" customHeight="1" x14ac:dyDescent="0.2">
      <c r="A13" s="122" t="s">
        <v>26</v>
      </c>
      <c r="B13" s="44" t="s">
        <v>25</v>
      </c>
      <c r="C13" s="99">
        <f>211.18/18.33</f>
        <v>11.52100381887616</v>
      </c>
      <c r="D13" s="99">
        <f>114.14/12.58</f>
        <v>9.0731319554848966</v>
      </c>
      <c r="E13" s="99">
        <f>49.6/1.65</f>
        <v>30.060606060606062</v>
      </c>
      <c r="F13" s="99">
        <f>29.66/0.93</f>
        <v>31.892473118279568</v>
      </c>
      <c r="G13" s="99">
        <f>11.19/1.01</f>
        <v>11.079207920792079</v>
      </c>
      <c r="H13" s="68"/>
      <c r="I13" s="66"/>
    </row>
    <row r="14" spans="1:10" ht="16.5" customHeight="1" x14ac:dyDescent="0.2">
      <c r="A14" s="136" t="s">
        <v>83</v>
      </c>
      <c r="B14" s="100"/>
      <c r="C14" s="101"/>
      <c r="D14" s="101"/>
      <c r="E14" s="101"/>
      <c r="F14" s="101"/>
      <c r="G14" s="101"/>
    </row>
    <row r="15" spans="1:10" x14ac:dyDescent="0.2">
      <c r="A15" s="102" t="s">
        <v>39</v>
      </c>
      <c r="B15" s="54" t="s">
        <v>79</v>
      </c>
      <c r="C15" s="49"/>
      <c r="D15" s="54"/>
      <c r="E15" s="54"/>
      <c r="F15" s="49"/>
      <c r="G15" s="49"/>
    </row>
    <row r="16" spans="1:10" x14ac:dyDescent="0.2">
      <c r="A16" s="54" t="s">
        <v>37</v>
      </c>
      <c r="B16" s="54" t="s">
        <v>38</v>
      </c>
      <c r="C16" s="49"/>
      <c r="D16" s="54"/>
      <c r="E16" s="54"/>
      <c r="F16" s="49"/>
      <c r="G16" s="49"/>
    </row>
    <row r="17" spans="1:7" x14ac:dyDescent="0.2">
      <c r="A17" s="49"/>
      <c r="B17" s="56"/>
      <c r="C17" s="54"/>
      <c r="D17" s="49"/>
      <c r="E17" s="49"/>
      <c r="F17" s="49"/>
      <c r="G17" s="49"/>
    </row>
    <row r="18" spans="1:7" x14ac:dyDescent="0.2">
      <c r="A18" s="49"/>
      <c r="B18" s="49"/>
      <c r="C18" s="49"/>
      <c r="D18" s="49"/>
      <c r="E18" s="49"/>
      <c r="F18" s="49"/>
      <c r="G18" s="49"/>
    </row>
  </sheetData>
  <mergeCells count="1">
    <mergeCell ref="A1:G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07" pageOrder="overThenDown" orientation="portrait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SheetLayoutView="100" workbookViewId="0">
      <selection sqref="A1:G1"/>
    </sheetView>
  </sheetViews>
  <sheetFormatPr defaultRowHeight="12.75" x14ac:dyDescent="0.2"/>
  <cols>
    <col min="1" max="1" width="12.28515625" style="62" customWidth="1"/>
    <col min="2" max="2" width="10.5703125" style="62" customWidth="1"/>
    <col min="3" max="3" width="11.85546875" style="62" customWidth="1"/>
    <col min="4" max="4" width="11.28515625" style="62" customWidth="1"/>
    <col min="5" max="5" width="11" style="62" customWidth="1"/>
    <col min="6" max="7" width="14.28515625" style="62" customWidth="1"/>
    <col min="8" max="8" width="10.5703125" style="62" bestFit="1" customWidth="1"/>
    <col min="9" max="16384" width="9.140625" style="62"/>
  </cols>
  <sheetData>
    <row r="1" spans="1:10" ht="60" customHeight="1" x14ac:dyDescent="0.2">
      <c r="A1" s="137" t="s">
        <v>102</v>
      </c>
      <c r="B1" s="137"/>
      <c r="C1" s="137"/>
      <c r="D1" s="137"/>
      <c r="E1" s="137"/>
      <c r="F1" s="137"/>
      <c r="G1" s="137"/>
      <c r="H1" s="69"/>
    </row>
    <row r="2" spans="1:10" s="63" customFormat="1" ht="13.15" customHeight="1" x14ac:dyDescent="0.2">
      <c r="A2" s="103" t="s">
        <v>95</v>
      </c>
      <c r="B2" s="104"/>
      <c r="C2" s="104"/>
      <c r="D2" s="104"/>
      <c r="E2" s="104"/>
      <c r="F2" s="104"/>
      <c r="G2" s="104"/>
    </row>
    <row r="3" spans="1:10" ht="25.5" customHeight="1" x14ac:dyDescent="0.2">
      <c r="A3" s="105" t="s">
        <v>11</v>
      </c>
      <c r="B3" s="105" t="s">
        <v>12</v>
      </c>
      <c r="C3" s="105" t="s">
        <v>28</v>
      </c>
      <c r="D3" s="105" t="s">
        <v>29</v>
      </c>
      <c r="E3" s="106" t="s">
        <v>92</v>
      </c>
      <c r="F3" s="106" t="s">
        <v>31</v>
      </c>
      <c r="G3" s="106" t="s">
        <v>34</v>
      </c>
      <c r="I3" s="70"/>
      <c r="J3" s="70"/>
    </row>
    <row r="4" spans="1:10" s="72" customFormat="1" ht="25.5" customHeight="1" x14ac:dyDescent="0.2">
      <c r="A4" s="122" t="s">
        <v>18</v>
      </c>
      <c r="B4" s="44" t="s">
        <v>14</v>
      </c>
      <c r="C4" s="107">
        <f>447/211177*1000</f>
        <v>2.1167077854122374</v>
      </c>
      <c r="D4" s="107">
        <f>377/114137*1000</f>
        <v>3.3030480913288414</v>
      </c>
      <c r="E4" s="110">
        <f>18/49595*1000</f>
        <v>0.36293981248109691</v>
      </c>
      <c r="F4" s="110">
        <f>19/37146*1000</f>
        <v>0.51149518117697734</v>
      </c>
      <c r="G4" s="107">
        <f>33/11193*1000</f>
        <v>2.9482712409541678</v>
      </c>
      <c r="H4" s="71"/>
      <c r="I4" s="124"/>
      <c r="J4" s="124"/>
    </row>
    <row r="5" spans="1:10" s="72" customFormat="1" ht="25.5" customHeight="1" x14ac:dyDescent="0.2">
      <c r="A5" s="122" t="s">
        <v>16</v>
      </c>
      <c r="B5" s="44" t="s">
        <v>14</v>
      </c>
      <c r="C5" s="107">
        <f>6826/211177*1000</f>
        <v>32.323595846138545</v>
      </c>
      <c r="D5" s="107">
        <f>5916/114137*1000</f>
        <v>51.83244697162182</v>
      </c>
      <c r="E5" s="110">
        <f>3.5/49595*1000</f>
        <v>7.0571630204657732E-2</v>
      </c>
      <c r="F5" s="107">
        <f>905/37146*1000</f>
        <v>24.363323103429707</v>
      </c>
      <c r="G5" s="110">
        <f>2.8/11193*1000</f>
        <v>0.25015634771732331</v>
      </c>
      <c r="H5" s="68"/>
      <c r="I5" s="124"/>
      <c r="J5" s="124"/>
    </row>
    <row r="6" spans="1:10" s="72" customFormat="1" ht="25.5" customHeight="1" x14ac:dyDescent="0.2">
      <c r="A6" s="122" t="s">
        <v>15</v>
      </c>
      <c r="B6" s="44" t="s">
        <v>14</v>
      </c>
      <c r="C6" s="107">
        <f>7202/211177*1000</f>
        <v>34.104092775254884</v>
      </c>
      <c r="D6" s="107">
        <f>3979/114137*1000</f>
        <v>34.861613674794327</v>
      </c>
      <c r="E6" s="107">
        <f>2571/49595*1000</f>
        <v>51.839903216050004</v>
      </c>
      <c r="F6" s="107">
        <f>154/37146*1000</f>
        <v>4.1458030474344483</v>
      </c>
      <c r="G6" s="107">
        <f>498/11193*1000</f>
        <v>44.49209327258108</v>
      </c>
      <c r="H6" s="68"/>
      <c r="I6" s="124"/>
      <c r="J6" s="124"/>
    </row>
    <row r="7" spans="1:10" s="72" customFormat="1" ht="25.5" customHeight="1" x14ac:dyDescent="0.2">
      <c r="A7" s="122" t="s">
        <v>17</v>
      </c>
      <c r="B7" s="44" t="s">
        <v>14</v>
      </c>
      <c r="C7" s="107">
        <f>67174/211177*1000</f>
        <v>318.0933529693101</v>
      </c>
      <c r="D7" s="107">
        <f>44906/114137*1000</f>
        <v>393.43946310136062</v>
      </c>
      <c r="E7" s="107">
        <f>16691/49595*1000</f>
        <v>336.54602278455491</v>
      </c>
      <c r="F7" s="107">
        <f>5532/37146*1000</f>
        <v>148.92586011952835</v>
      </c>
      <c r="G7" s="107">
        <f>44/11193*1000</f>
        <v>3.9310283212722239</v>
      </c>
      <c r="H7" s="125"/>
      <c r="I7" s="124"/>
      <c r="J7" s="124"/>
    </row>
    <row r="8" spans="1:10" s="72" customFormat="1" ht="25.5" customHeight="1" x14ac:dyDescent="0.2">
      <c r="A8" s="122" t="s">
        <v>13</v>
      </c>
      <c r="B8" s="44" t="s">
        <v>14</v>
      </c>
      <c r="C8" s="107">
        <f>24349/211177*1000</f>
        <v>115.30138225280214</v>
      </c>
      <c r="D8" s="107">
        <f>18377/114137*1000</f>
        <v>161.00826200092871</v>
      </c>
      <c r="E8" s="107">
        <f>3779/49595*1000</f>
        <v>76.19719729811473</v>
      </c>
      <c r="F8" s="107">
        <f>1328/37146*1000</f>
        <v>35.750821084369782</v>
      </c>
      <c r="G8" s="107">
        <f>865/11193*1000</f>
        <v>77.28044313410166</v>
      </c>
      <c r="H8" s="125"/>
      <c r="I8" s="124"/>
      <c r="J8" s="124"/>
    </row>
    <row r="9" spans="1:10" ht="20.25" customHeight="1" x14ac:dyDescent="0.2">
      <c r="A9" s="55" t="s">
        <v>83</v>
      </c>
      <c r="B9" s="100"/>
      <c r="C9" s="108"/>
      <c r="D9" s="49"/>
      <c r="E9" s="108"/>
      <c r="F9" s="108"/>
      <c r="G9" s="108"/>
      <c r="H9" s="74"/>
      <c r="I9" s="70"/>
      <c r="J9" s="70"/>
    </row>
    <row r="10" spans="1:10" x14ac:dyDescent="0.2">
      <c r="A10" s="49"/>
      <c r="B10" s="109"/>
      <c r="C10" s="53"/>
      <c r="D10" s="49"/>
      <c r="E10" s="49"/>
      <c r="F10" s="49"/>
      <c r="G10" s="102" t="s">
        <v>84</v>
      </c>
      <c r="I10" s="70"/>
      <c r="J10" s="70"/>
    </row>
    <row r="11" spans="1:10" x14ac:dyDescent="0.2">
      <c r="A11" s="73"/>
      <c r="D11" s="63"/>
      <c r="I11" s="70"/>
      <c r="J11" s="70"/>
    </row>
  </sheetData>
  <mergeCells count="1">
    <mergeCell ref="A1:G1"/>
  </mergeCells>
  <phoneticPr fontId="0" type="noConversion"/>
  <printOptions horizontalCentered="1"/>
  <pageMargins left="0.75" right="0.75" top="1" bottom="1" header="0.5" footer="0.5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SheetLayoutView="100" workbookViewId="0">
      <selection sqref="A1:G1"/>
    </sheetView>
  </sheetViews>
  <sheetFormatPr defaultRowHeight="12.75" x14ac:dyDescent="0.2"/>
  <cols>
    <col min="1" max="1" width="11.7109375" style="62" customWidth="1"/>
    <col min="2" max="2" width="7.28515625" style="62" customWidth="1"/>
    <col min="3" max="4" width="11.5703125" style="62" customWidth="1"/>
    <col min="5" max="5" width="11" style="62" customWidth="1"/>
    <col min="6" max="6" width="15.5703125" style="62" customWidth="1"/>
    <col min="7" max="7" width="12.85546875" style="62" customWidth="1"/>
    <col min="8" max="16384" width="9.140625" style="62"/>
  </cols>
  <sheetData>
    <row r="1" spans="1:7" ht="60" customHeight="1" x14ac:dyDescent="0.2">
      <c r="A1" s="137" t="s">
        <v>103</v>
      </c>
      <c r="B1" s="137"/>
      <c r="C1" s="137"/>
      <c r="D1" s="137"/>
      <c r="E1" s="137"/>
      <c r="F1" s="137"/>
      <c r="G1" s="137"/>
    </row>
    <row r="2" spans="1:7" s="63" customFormat="1" ht="12" x14ac:dyDescent="0.2">
      <c r="A2" s="111" t="s">
        <v>96</v>
      </c>
      <c r="B2" s="112"/>
      <c r="C2" s="112"/>
      <c r="D2" s="112"/>
      <c r="E2" s="112"/>
      <c r="F2" s="112"/>
      <c r="G2" s="112"/>
    </row>
    <row r="3" spans="1:7" ht="30" customHeight="1" x14ac:dyDescent="0.2">
      <c r="A3" s="113" t="s">
        <v>11</v>
      </c>
      <c r="B3" s="113" t="s">
        <v>12</v>
      </c>
      <c r="C3" s="113" t="s">
        <v>1</v>
      </c>
      <c r="D3" s="113" t="s">
        <v>2</v>
      </c>
      <c r="E3" s="42" t="s">
        <v>35</v>
      </c>
      <c r="F3" s="42" t="s">
        <v>43</v>
      </c>
      <c r="G3" s="42" t="s">
        <v>34</v>
      </c>
    </row>
    <row r="4" spans="1:7" s="39" customFormat="1" ht="24" customHeight="1" x14ac:dyDescent="0.2">
      <c r="A4" s="114" t="s">
        <v>19</v>
      </c>
      <c r="B4" s="46" t="s">
        <v>14</v>
      </c>
      <c r="C4" s="45">
        <v>707</v>
      </c>
      <c r="D4" s="45">
        <v>615</v>
      </c>
      <c r="E4" s="45">
        <v>1115</v>
      </c>
      <c r="F4" s="45">
        <v>518</v>
      </c>
      <c r="G4" s="45">
        <v>443</v>
      </c>
    </row>
    <row r="5" spans="1:7" s="39" customFormat="1" ht="24" customHeight="1" x14ac:dyDescent="0.2">
      <c r="A5" s="97" t="s">
        <v>18</v>
      </c>
      <c r="B5" s="46" t="s">
        <v>14</v>
      </c>
      <c r="C5" s="45">
        <v>473</v>
      </c>
      <c r="D5" s="45">
        <v>440</v>
      </c>
      <c r="E5" s="45">
        <v>954</v>
      </c>
      <c r="F5" s="45">
        <v>643</v>
      </c>
      <c r="G5" s="45">
        <v>823</v>
      </c>
    </row>
    <row r="6" spans="1:7" s="39" customFormat="1" ht="24" customHeight="1" x14ac:dyDescent="0.2">
      <c r="A6" s="97" t="s">
        <v>16</v>
      </c>
      <c r="B6" s="46" t="s">
        <v>14</v>
      </c>
      <c r="C6" s="45">
        <v>4969</v>
      </c>
      <c r="D6" s="45">
        <v>6575</v>
      </c>
      <c r="E6" s="45">
        <v>1016</v>
      </c>
      <c r="F6" s="45">
        <v>1933</v>
      </c>
      <c r="G6" s="45">
        <v>1017</v>
      </c>
    </row>
    <row r="7" spans="1:7" s="39" customFormat="1" ht="24" customHeight="1" x14ac:dyDescent="0.2">
      <c r="A7" s="97" t="s">
        <v>15</v>
      </c>
      <c r="B7" s="46" t="s">
        <v>14</v>
      </c>
      <c r="C7" s="45">
        <v>2563</v>
      </c>
      <c r="D7" s="115">
        <v>2090</v>
      </c>
      <c r="E7" s="45">
        <v>3726</v>
      </c>
      <c r="F7" s="45">
        <v>2469</v>
      </c>
      <c r="G7" s="45">
        <v>3234</v>
      </c>
    </row>
    <row r="8" spans="1:7" s="39" customFormat="1" ht="24" customHeight="1" x14ac:dyDescent="0.2">
      <c r="A8" s="97" t="s">
        <v>17</v>
      </c>
      <c r="B8" s="46" t="s">
        <v>14</v>
      </c>
      <c r="C8" s="45">
        <v>60962</v>
      </c>
      <c r="D8" s="45">
        <v>63195</v>
      </c>
      <c r="E8" s="45">
        <v>59718</v>
      </c>
      <c r="F8" s="45">
        <v>49838</v>
      </c>
      <c r="G8" s="45">
        <v>49222</v>
      </c>
    </row>
    <row r="9" spans="1:7" s="39" customFormat="1" ht="24" customHeight="1" x14ac:dyDescent="0.2">
      <c r="A9" s="97" t="s">
        <v>13</v>
      </c>
      <c r="B9" s="46" t="s">
        <v>14</v>
      </c>
      <c r="C9" s="45">
        <v>2806</v>
      </c>
      <c r="D9" s="45">
        <v>2829</v>
      </c>
      <c r="E9" s="45">
        <v>3590</v>
      </c>
      <c r="F9" s="45">
        <v>1795</v>
      </c>
      <c r="G9" s="45">
        <v>2221</v>
      </c>
    </row>
    <row r="10" spans="1:7" s="39" customFormat="1" ht="21" customHeight="1" x14ac:dyDescent="0.2">
      <c r="A10" s="40" t="s">
        <v>93</v>
      </c>
      <c r="B10" s="100"/>
      <c r="C10" s="116"/>
      <c r="D10" s="117"/>
      <c r="E10" s="117"/>
      <c r="F10" s="116"/>
      <c r="G10" s="117"/>
    </row>
    <row r="11" spans="1:7" ht="12.75" customHeight="1" x14ac:dyDescent="0.2">
      <c r="A11" s="49"/>
      <c r="B11" s="118"/>
      <c r="C11" s="49"/>
      <c r="D11" s="119" t="s">
        <v>41</v>
      </c>
      <c r="E11" s="54" t="s">
        <v>80</v>
      </c>
      <c r="F11" s="49"/>
      <c r="G11" s="120"/>
    </row>
    <row r="12" spans="1:7" x14ac:dyDescent="0.2">
      <c r="A12" s="73"/>
    </row>
  </sheetData>
  <mergeCells count="1">
    <mergeCell ref="A1:G1"/>
  </mergeCells>
  <phoneticPr fontId="0" type="noConversion"/>
  <printOptions horizontalCentered="1"/>
  <pageMargins left="0.62992125984252001" right="0.62992125984252001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SheetLayoutView="100" workbookViewId="0">
      <selection sqref="A1:G1"/>
    </sheetView>
  </sheetViews>
  <sheetFormatPr defaultRowHeight="12.75" x14ac:dyDescent="0.2"/>
  <cols>
    <col min="1" max="1" width="23.42578125" customWidth="1"/>
    <col min="2" max="2" width="11.140625" customWidth="1"/>
    <col min="3" max="3" width="8.85546875" customWidth="1"/>
    <col min="4" max="4" width="13.5703125" customWidth="1"/>
    <col min="5" max="6" width="8.85546875" customWidth="1"/>
    <col min="7" max="7" width="11.5703125" customWidth="1"/>
    <col min="8" max="8" width="12.5703125" bestFit="1" customWidth="1"/>
    <col min="9" max="10" width="10.5703125" bestFit="1" customWidth="1"/>
    <col min="11" max="11" width="9.5703125" bestFit="1" customWidth="1"/>
    <col min="12" max="12" width="10.5703125" bestFit="1" customWidth="1"/>
  </cols>
  <sheetData>
    <row r="1" spans="1:10" ht="60" customHeight="1" x14ac:dyDescent="0.2">
      <c r="A1" s="138" t="s">
        <v>105</v>
      </c>
      <c r="B1" s="138"/>
      <c r="C1" s="138"/>
      <c r="D1" s="138"/>
      <c r="E1" s="138"/>
      <c r="F1" s="138"/>
      <c r="G1" s="138"/>
    </row>
    <row r="2" spans="1:10" s="3" customFormat="1" ht="12" x14ac:dyDescent="0.2">
      <c r="A2" s="22" t="s">
        <v>97</v>
      </c>
      <c r="B2" s="23"/>
      <c r="C2" s="23"/>
      <c r="D2" s="23"/>
      <c r="E2" s="23"/>
      <c r="F2" s="23"/>
      <c r="G2" s="23"/>
    </row>
    <row r="3" spans="1:10" ht="25.5" customHeight="1" x14ac:dyDescent="0.2">
      <c r="A3" s="24" t="s">
        <v>45</v>
      </c>
      <c r="B3" s="24" t="s">
        <v>12</v>
      </c>
      <c r="C3" s="24" t="s">
        <v>1</v>
      </c>
      <c r="D3" s="25" t="s">
        <v>31</v>
      </c>
      <c r="E3" s="24" t="s">
        <v>2</v>
      </c>
      <c r="F3" s="25" t="s">
        <v>35</v>
      </c>
      <c r="G3" s="25" t="s">
        <v>34</v>
      </c>
    </row>
    <row r="4" spans="1:10" ht="25.5" customHeight="1" x14ac:dyDescent="0.2">
      <c r="A4" s="26" t="s">
        <v>20</v>
      </c>
      <c r="B4" s="27" t="s">
        <v>21</v>
      </c>
      <c r="C4" s="20">
        <v>7202</v>
      </c>
      <c r="D4" s="20">
        <v>154</v>
      </c>
      <c r="E4" s="20">
        <v>3979</v>
      </c>
      <c r="F4" s="20">
        <v>2571</v>
      </c>
      <c r="G4" s="20">
        <v>498</v>
      </c>
      <c r="H4" s="58"/>
    </row>
    <row r="5" spans="1:10" ht="25.5" customHeight="1" x14ac:dyDescent="0.2">
      <c r="A5" s="126" t="s">
        <v>85</v>
      </c>
      <c r="B5" s="27" t="s">
        <v>21</v>
      </c>
      <c r="C5" s="20">
        <f>7202-720</f>
        <v>6482</v>
      </c>
      <c r="D5" s="20">
        <f>154-15.4</f>
        <v>138.6</v>
      </c>
      <c r="E5" s="20">
        <f>E4-399</f>
        <v>3580</v>
      </c>
      <c r="F5" s="20">
        <f>F4-257</f>
        <v>2314</v>
      </c>
      <c r="G5" s="20">
        <f>498-50</f>
        <v>448</v>
      </c>
    </row>
    <row r="6" spans="1:10" ht="25.5" customHeight="1" x14ac:dyDescent="0.2">
      <c r="A6" s="26" t="s">
        <v>56</v>
      </c>
      <c r="B6" s="27" t="s">
        <v>22</v>
      </c>
      <c r="C6" s="59">
        <f>C4/211177*1000</f>
        <v>34.104092775254884</v>
      </c>
      <c r="D6" s="59">
        <f>D4/37146*1000</f>
        <v>4.1458030474344483</v>
      </c>
      <c r="E6" s="59">
        <f>E4/114137*1000</f>
        <v>34.861613674794327</v>
      </c>
      <c r="F6" s="59">
        <f>F4/49595*1000</f>
        <v>51.839903216050004</v>
      </c>
      <c r="G6" s="59">
        <f>G4/11193*1000</f>
        <v>44.49209327258108</v>
      </c>
      <c r="H6" s="7"/>
    </row>
    <row r="7" spans="1:10" ht="14.25" customHeight="1" x14ac:dyDescent="0.2">
      <c r="A7" s="28"/>
      <c r="B7" s="29"/>
      <c r="C7" s="30"/>
      <c r="D7" s="30"/>
      <c r="E7" s="30"/>
      <c r="F7" s="30"/>
      <c r="G7" s="30"/>
      <c r="H7" s="8"/>
      <c r="I7" s="1"/>
      <c r="J7" s="1"/>
    </row>
    <row r="8" spans="1:10" ht="12.75" customHeight="1" x14ac:dyDescent="0.2">
      <c r="A8" s="31"/>
      <c r="B8" s="29"/>
      <c r="C8" s="32" t="s">
        <v>40</v>
      </c>
      <c r="D8" s="33" t="s">
        <v>36</v>
      </c>
      <c r="E8" s="34"/>
      <c r="F8" s="34"/>
      <c r="G8" s="34"/>
      <c r="I8" s="1"/>
      <c r="J8" s="1"/>
    </row>
    <row r="9" spans="1:10" x14ac:dyDescent="0.2">
      <c r="A9" s="35"/>
      <c r="B9" s="36"/>
      <c r="C9" s="37"/>
      <c r="D9" s="54" t="s">
        <v>81</v>
      </c>
      <c r="E9" s="49"/>
      <c r="F9" s="49"/>
      <c r="G9" s="36"/>
    </row>
    <row r="10" spans="1:10" x14ac:dyDescent="0.2">
      <c r="A10" s="35"/>
      <c r="B10" s="36"/>
      <c r="C10" s="38"/>
      <c r="D10" s="33"/>
      <c r="E10" s="36"/>
      <c r="F10" s="36"/>
      <c r="G10" s="36"/>
    </row>
    <row r="11" spans="1:10" x14ac:dyDescent="0.2">
      <c r="A11" s="3"/>
      <c r="C11" s="4"/>
      <c r="D11" s="3"/>
    </row>
  </sheetData>
  <mergeCells count="1">
    <mergeCell ref="A1:G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Normal="160" zoomScaleSheetLayoutView="100" workbookViewId="0">
      <selection activeCell="D20" sqref="D20"/>
    </sheetView>
  </sheetViews>
  <sheetFormatPr defaultRowHeight="12.75" x14ac:dyDescent="0.2"/>
  <cols>
    <col min="1" max="1" width="24" style="2" customWidth="1"/>
    <col min="2" max="2" width="12" bestFit="1" customWidth="1"/>
    <col min="3" max="3" width="9" customWidth="1"/>
    <col min="4" max="4" width="13.42578125" customWidth="1"/>
    <col min="5" max="6" width="7.7109375" customWidth="1"/>
    <col min="7" max="7" width="12" customWidth="1"/>
    <col min="8" max="8" width="11.28515625" bestFit="1" customWidth="1"/>
  </cols>
  <sheetData>
    <row r="1" spans="1:11" ht="60" customHeight="1" x14ac:dyDescent="0.2">
      <c r="A1" s="139" t="s">
        <v>106</v>
      </c>
      <c r="B1" s="139"/>
      <c r="C1" s="139"/>
      <c r="D1" s="139"/>
      <c r="E1" s="139"/>
      <c r="F1" s="139"/>
      <c r="G1" s="139"/>
    </row>
    <row r="2" spans="1:11" s="3" customFormat="1" ht="12.75" customHeight="1" x14ac:dyDescent="0.2">
      <c r="A2" s="40" t="s">
        <v>98</v>
      </c>
      <c r="B2" s="41"/>
      <c r="C2" s="41"/>
      <c r="D2" s="41"/>
      <c r="E2" s="41"/>
      <c r="F2" s="41"/>
      <c r="G2" s="41"/>
    </row>
    <row r="3" spans="1:11" ht="25.5" customHeight="1" x14ac:dyDescent="0.2">
      <c r="A3" s="42" t="s">
        <v>45</v>
      </c>
      <c r="B3" s="42" t="s">
        <v>12</v>
      </c>
      <c r="C3" s="42" t="s">
        <v>1</v>
      </c>
      <c r="D3" s="42" t="s">
        <v>31</v>
      </c>
      <c r="E3" s="42" t="s">
        <v>2</v>
      </c>
      <c r="F3" s="42" t="s">
        <v>35</v>
      </c>
      <c r="G3" s="42" t="s">
        <v>34</v>
      </c>
    </row>
    <row r="4" spans="1:11" ht="25.5" customHeight="1" x14ac:dyDescent="0.2">
      <c r="A4" s="43" t="s">
        <v>23</v>
      </c>
      <c r="B4" s="44" t="s">
        <v>24</v>
      </c>
      <c r="C4" s="45">
        <v>24349</v>
      </c>
      <c r="D4" s="45">
        <v>1328</v>
      </c>
      <c r="E4" s="45">
        <v>18377</v>
      </c>
      <c r="F4" s="45">
        <v>3779</v>
      </c>
      <c r="G4" s="45">
        <v>865</v>
      </c>
    </row>
    <row r="5" spans="1:11" ht="25.5" customHeight="1" x14ac:dyDescent="0.2">
      <c r="A5" s="43" t="s">
        <v>57</v>
      </c>
      <c r="B5" s="46" t="s">
        <v>24</v>
      </c>
      <c r="C5" s="47">
        <f>24349-2434.9</f>
        <v>21914.1</v>
      </c>
      <c r="D5" s="47">
        <f>1328-133</f>
        <v>1195</v>
      </c>
      <c r="E5" s="47">
        <f>18377-1838</f>
        <v>16539</v>
      </c>
      <c r="F5" s="47">
        <f>3779-378</f>
        <v>3401</v>
      </c>
      <c r="G5" s="47">
        <f>865-87</f>
        <v>778</v>
      </c>
      <c r="H5" s="57"/>
      <c r="I5" s="6"/>
    </row>
    <row r="6" spans="1:11" ht="25.5" customHeight="1" x14ac:dyDescent="0.2">
      <c r="A6" s="43" t="s">
        <v>56</v>
      </c>
      <c r="B6" s="46" t="s">
        <v>22</v>
      </c>
      <c r="C6" s="47">
        <f>24349/211177*1000</f>
        <v>115.30138225280214</v>
      </c>
      <c r="D6" s="61">
        <f>D4/37146*1000</f>
        <v>35.750821084369782</v>
      </c>
      <c r="E6" s="61">
        <f>E4/114137*1000</f>
        <v>161.00826200092871</v>
      </c>
      <c r="F6" s="61">
        <f>F4/49595*1000</f>
        <v>76.19719729811473</v>
      </c>
      <c r="G6" s="60">
        <f>G4/11193*1000</f>
        <v>77.28044313410166</v>
      </c>
    </row>
    <row r="7" spans="1:11" ht="13.15" customHeight="1" x14ac:dyDescent="0.2">
      <c r="A7" s="48"/>
      <c r="B7" s="49"/>
      <c r="C7" s="50"/>
      <c r="D7" s="51"/>
      <c r="E7" s="51"/>
      <c r="F7" s="51"/>
      <c r="G7" s="51"/>
      <c r="I7" s="1"/>
      <c r="J7" s="1"/>
      <c r="K7" s="1"/>
    </row>
    <row r="8" spans="1:11" x14ac:dyDescent="0.2">
      <c r="A8" s="52"/>
      <c r="B8" s="49"/>
      <c r="C8" s="53" t="s">
        <v>42</v>
      </c>
      <c r="D8" s="54" t="s">
        <v>82</v>
      </c>
      <c r="E8" s="54"/>
      <c r="F8" s="54"/>
      <c r="G8" s="54"/>
    </row>
    <row r="9" spans="1:11" x14ac:dyDescent="0.2">
      <c r="A9" s="55"/>
      <c r="B9" s="49"/>
      <c r="C9" s="56"/>
      <c r="D9" s="54" t="s">
        <v>32</v>
      </c>
      <c r="E9" s="54"/>
      <c r="F9" s="54"/>
      <c r="G9" s="54"/>
    </row>
    <row r="10" spans="1:11" x14ac:dyDescent="0.2">
      <c r="A10" s="52"/>
      <c r="B10" s="49"/>
      <c r="C10" s="56"/>
      <c r="D10" s="54"/>
      <c r="E10" s="54"/>
      <c r="F10" s="54"/>
      <c r="G10" s="54"/>
    </row>
    <row r="11" spans="1:11" x14ac:dyDescent="0.2">
      <c r="D11" s="5"/>
    </row>
  </sheetData>
  <mergeCells count="1">
    <mergeCell ref="A1:G1"/>
  </mergeCells>
  <phoneticPr fontId="0" type="noConversion"/>
  <printOptions horizontalCentered="1"/>
  <pageMargins left="0.66929133858267698" right="0.66929133858267698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SheetLayoutView="100" workbookViewId="0">
      <selection activeCell="S3" sqref="S3"/>
    </sheetView>
  </sheetViews>
  <sheetFormatPr defaultColWidth="9.140625" defaultRowHeight="12" x14ac:dyDescent="0.2"/>
  <cols>
    <col min="1" max="1" width="11.28515625" style="9" customWidth="1"/>
    <col min="2" max="2" width="6.7109375" style="9" bestFit="1" customWidth="1"/>
    <col min="3" max="3" width="7.7109375" style="9" bestFit="1" customWidth="1"/>
    <col min="4" max="4" width="9.28515625" style="9" bestFit="1" customWidth="1"/>
    <col min="5" max="5" width="8.140625" style="9" bestFit="1" customWidth="1"/>
    <col min="6" max="6" width="6.7109375" style="9" bestFit="1" customWidth="1"/>
    <col min="7" max="7" width="7.7109375" style="9" bestFit="1" customWidth="1"/>
    <col min="8" max="8" width="9.28515625" style="9" bestFit="1" customWidth="1"/>
    <col min="9" max="9" width="8.140625" style="9" customWidth="1"/>
    <col min="10" max="11" width="6.7109375" style="9" bestFit="1" customWidth="1"/>
    <col min="12" max="12" width="7.7109375" style="9" bestFit="1" customWidth="1"/>
    <col min="13" max="13" width="8.140625" style="9" bestFit="1" customWidth="1"/>
    <col min="14" max="15" width="5.7109375" style="9" bestFit="1" customWidth="1"/>
    <col min="16" max="16" width="7.7109375" style="9" bestFit="1" customWidth="1"/>
    <col min="17" max="17" width="8.140625" style="9" customWidth="1"/>
    <col min="18" max="16384" width="9.140625" style="9"/>
  </cols>
  <sheetData>
    <row r="1" spans="1:17" ht="60" customHeight="1" x14ac:dyDescent="0.2">
      <c r="A1" s="144" t="s">
        <v>107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12.75" customHeight="1" x14ac:dyDescent="0.2">
      <c r="A2" s="10" t="s">
        <v>99</v>
      </c>
      <c r="B2" s="10"/>
      <c r="C2" s="10"/>
      <c r="D2" s="10"/>
      <c r="E2" s="10"/>
      <c r="F2" s="11"/>
      <c r="G2" s="10"/>
      <c r="H2" s="10"/>
      <c r="I2" s="10"/>
      <c r="J2" s="10"/>
      <c r="K2" s="12"/>
      <c r="L2" s="12"/>
      <c r="M2" s="12"/>
      <c r="N2" s="12"/>
      <c r="O2" s="12"/>
      <c r="P2" s="12"/>
      <c r="Q2" s="12" t="s">
        <v>46</v>
      </c>
    </row>
    <row r="3" spans="1:17" s="13" customFormat="1" ht="20.100000000000001" customHeight="1" x14ac:dyDescent="0.2">
      <c r="A3" s="145" t="s">
        <v>47</v>
      </c>
      <c r="B3" s="146" t="s">
        <v>2</v>
      </c>
      <c r="C3" s="147"/>
      <c r="D3" s="147"/>
      <c r="E3" s="148"/>
      <c r="F3" s="146" t="s">
        <v>35</v>
      </c>
      <c r="G3" s="147"/>
      <c r="H3" s="147"/>
      <c r="I3" s="148"/>
      <c r="J3" s="146" t="s">
        <v>30</v>
      </c>
      <c r="K3" s="147"/>
      <c r="L3" s="147"/>
      <c r="M3" s="148"/>
      <c r="N3" s="146" t="s">
        <v>34</v>
      </c>
      <c r="O3" s="147"/>
      <c r="P3" s="147"/>
      <c r="Q3" s="148"/>
    </row>
    <row r="4" spans="1:17" s="13" customFormat="1" ht="69" customHeight="1" x14ac:dyDescent="0.2">
      <c r="A4" s="145"/>
      <c r="B4" s="14" t="s">
        <v>48</v>
      </c>
      <c r="C4" s="14" t="s">
        <v>20</v>
      </c>
      <c r="D4" s="14" t="s">
        <v>49</v>
      </c>
      <c r="E4" s="14" t="s">
        <v>50</v>
      </c>
      <c r="F4" s="14" t="s">
        <v>48</v>
      </c>
      <c r="G4" s="14" t="s">
        <v>20</v>
      </c>
      <c r="H4" s="14" t="s">
        <v>49</v>
      </c>
      <c r="I4" s="14" t="s">
        <v>50</v>
      </c>
      <c r="J4" s="14" t="s">
        <v>48</v>
      </c>
      <c r="K4" s="14" t="s">
        <v>20</v>
      </c>
      <c r="L4" s="14" t="s">
        <v>49</v>
      </c>
      <c r="M4" s="14" t="s">
        <v>50</v>
      </c>
      <c r="N4" s="14" t="s">
        <v>48</v>
      </c>
      <c r="O4" s="14" t="s">
        <v>20</v>
      </c>
      <c r="P4" s="14" t="s">
        <v>49</v>
      </c>
      <c r="Q4" s="14" t="s">
        <v>50</v>
      </c>
    </row>
    <row r="5" spans="1:17" s="127" customFormat="1" ht="20.100000000000001" customHeight="1" x14ac:dyDescent="0.2">
      <c r="A5" s="140" t="s">
        <v>51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s="127" customFormat="1" ht="20.100000000000001" customHeight="1" x14ac:dyDescent="0.2">
      <c r="A6" s="15" t="s">
        <v>52</v>
      </c>
      <c r="B6" s="20">
        <v>6660.2</v>
      </c>
      <c r="C6" s="20">
        <v>20466.3</v>
      </c>
      <c r="D6" s="20">
        <v>3072.925737965827</v>
      </c>
      <c r="E6" s="21">
        <v>0</v>
      </c>
      <c r="F6" s="20">
        <v>1169.5</v>
      </c>
      <c r="G6" s="20">
        <v>3910.4</v>
      </c>
      <c r="H6" s="20">
        <v>3343.6511329628047</v>
      </c>
      <c r="I6" s="21">
        <v>0</v>
      </c>
      <c r="J6" s="20">
        <v>748.7</v>
      </c>
      <c r="K6" s="20">
        <v>1365.1</v>
      </c>
      <c r="L6" s="20">
        <v>1823.2937090957657</v>
      </c>
      <c r="M6" s="21">
        <v>0</v>
      </c>
      <c r="N6" s="20">
        <v>394.1</v>
      </c>
      <c r="O6" s="20">
        <v>931.8</v>
      </c>
      <c r="P6" s="20">
        <v>2364.374524232428</v>
      </c>
      <c r="Q6" s="21">
        <v>0</v>
      </c>
    </row>
    <row r="7" spans="1:17" s="127" customFormat="1" ht="20.100000000000001" customHeight="1" x14ac:dyDescent="0.2">
      <c r="A7" s="15" t="s">
        <v>53</v>
      </c>
      <c r="B7" s="20">
        <v>6559.8</v>
      </c>
      <c r="C7" s="20">
        <v>19178.5</v>
      </c>
      <c r="D7" s="20">
        <v>2923.640964663557</v>
      </c>
      <c r="E7" s="21">
        <v>-4.8580664172213757</v>
      </c>
      <c r="F7" s="20">
        <v>1089.5999999999999</v>
      </c>
      <c r="G7" s="20">
        <v>3639.5</v>
      </c>
      <c r="H7" s="20">
        <v>3340.2165932452281</v>
      </c>
      <c r="I7" s="21">
        <v>-0.10271824365041594</v>
      </c>
      <c r="J7" s="20">
        <v>753.4</v>
      </c>
      <c r="K7" s="20">
        <v>1322.7</v>
      </c>
      <c r="L7" s="20">
        <v>1755.6410937085213</v>
      </c>
      <c r="M7" s="21">
        <v>-3.7104617347029438</v>
      </c>
      <c r="N7" s="20">
        <v>394.4</v>
      </c>
      <c r="O7" s="20">
        <v>935.4</v>
      </c>
      <c r="P7" s="20">
        <v>2371.7038539553755</v>
      </c>
      <c r="Q7" s="21">
        <v>0.30999021719399028</v>
      </c>
    </row>
    <row r="8" spans="1:17" s="127" customFormat="1" ht="20.100000000000001" customHeight="1" x14ac:dyDescent="0.2">
      <c r="A8" s="15" t="s">
        <v>58</v>
      </c>
      <c r="B8" s="20">
        <v>6496</v>
      </c>
      <c r="C8" s="20">
        <v>18377</v>
      </c>
      <c r="D8" s="20">
        <f>C8/B8*1000</f>
        <v>2828.9716748768474</v>
      </c>
      <c r="E8" s="21">
        <f>(D8-D7)/D7*100</f>
        <v>-3.2380614080499415</v>
      </c>
      <c r="F8" s="20">
        <v>1132</v>
      </c>
      <c r="G8" s="20">
        <v>3779</v>
      </c>
      <c r="H8" s="20">
        <f>G8/F8*1000</f>
        <v>3338.3392226148412</v>
      </c>
      <c r="I8" s="21">
        <f>(H8-H7)/H7*100</f>
        <v>-5.6205056707501325E-2</v>
      </c>
      <c r="J8" s="20">
        <v>724</v>
      </c>
      <c r="K8" s="20">
        <v>1337</v>
      </c>
      <c r="L8" s="20">
        <f>K8/J8*1000</f>
        <v>1846.6850828729282</v>
      </c>
      <c r="M8" s="21">
        <f>(L8-L7)/L7*100</f>
        <v>5.1857973415335401</v>
      </c>
      <c r="N8" s="20">
        <v>390</v>
      </c>
      <c r="O8" s="20">
        <v>865</v>
      </c>
      <c r="P8" s="20">
        <f>O8/N8*1000</f>
        <v>2217.9487179487182</v>
      </c>
      <c r="Q8" s="21">
        <f>(P8-P7)/P7*100</f>
        <v>-6.4828977593570256</v>
      </c>
    </row>
    <row r="9" spans="1:17" s="127" customFormat="1" ht="20.100000000000001" customHeight="1" x14ac:dyDescent="0.2">
      <c r="A9" s="141" t="s">
        <v>54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7" s="127" customFormat="1" ht="20.100000000000001" customHeight="1" x14ac:dyDescent="0.2">
      <c r="A10" s="15" t="s">
        <v>52</v>
      </c>
      <c r="B10" s="20">
        <v>777.8</v>
      </c>
      <c r="C10" s="20">
        <v>49613</v>
      </c>
      <c r="D10" s="20">
        <v>63786.320390845976</v>
      </c>
      <c r="E10" s="21">
        <v>0</v>
      </c>
      <c r="F10" s="20">
        <v>320.5</v>
      </c>
      <c r="G10" s="20">
        <v>20208.900000000001</v>
      </c>
      <c r="H10" s="20">
        <v>63054.290171606866</v>
      </c>
      <c r="I10" s="21">
        <v>0</v>
      </c>
      <c r="J10" s="20">
        <v>118.6</v>
      </c>
      <c r="K10" s="20">
        <v>5628.7</v>
      </c>
      <c r="L10" s="20">
        <v>47459.527824620571</v>
      </c>
      <c r="M10" s="21">
        <v>0</v>
      </c>
      <c r="N10" s="21">
        <v>0.7</v>
      </c>
      <c r="O10" s="21">
        <v>31.6</v>
      </c>
      <c r="P10" s="20">
        <v>45142.857142857145</v>
      </c>
      <c r="Q10" s="21">
        <v>0</v>
      </c>
    </row>
    <row r="11" spans="1:17" s="127" customFormat="1" ht="20.100000000000001" customHeight="1" x14ac:dyDescent="0.2">
      <c r="A11" s="15" t="s">
        <v>53</v>
      </c>
      <c r="B11" s="20">
        <v>859.1</v>
      </c>
      <c r="C11" s="20">
        <v>55067.5</v>
      </c>
      <c r="D11" s="20">
        <v>64099.057152834364</v>
      </c>
      <c r="E11" s="21">
        <v>4.9028813713052664</v>
      </c>
      <c r="F11" s="20">
        <v>333.3</v>
      </c>
      <c r="G11" s="20">
        <v>20611.900000000001</v>
      </c>
      <c r="H11" s="20">
        <v>61841.884188418844</v>
      </c>
      <c r="I11" s="21">
        <v>-1.9227969736688346</v>
      </c>
      <c r="J11" s="20">
        <v>148.5</v>
      </c>
      <c r="K11" s="20">
        <v>7610</v>
      </c>
      <c r="L11" s="20">
        <v>51245.791245791246</v>
      </c>
      <c r="M11" s="21">
        <v>7.9778784044422721</v>
      </c>
      <c r="N11" s="21">
        <v>0.9</v>
      </c>
      <c r="O11" s="21">
        <v>43.4</v>
      </c>
      <c r="P11" s="20">
        <v>48222.222222222219</v>
      </c>
      <c r="Q11" s="21">
        <v>6.8213783403656709</v>
      </c>
    </row>
    <row r="12" spans="1:17" s="127" customFormat="1" ht="20.100000000000001" customHeight="1" x14ac:dyDescent="0.2">
      <c r="A12" s="15" t="s">
        <v>58</v>
      </c>
      <c r="B12" s="20">
        <v>711</v>
      </c>
      <c r="C12" s="20">
        <v>44906</v>
      </c>
      <c r="D12" s="20">
        <f>C12/B12*1000</f>
        <v>63158.931082981719</v>
      </c>
      <c r="E12" s="21">
        <f>(D12-D11)/D11*1000</f>
        <v>-14.666769085402604</v>
      </c>
      <c r="F12" s="20">
        <v>280</v>
      </c>
      <c r="G12" s="20">
        <v>16691</v>
      </c>
      <c r="H12" s="20">
        <f>G12/F12*1000</f>
        <v>59610.71428571429</v>
      </c>
      <c r="I12" s="21">
        <f>(H12-H11)/H11*100</f>
        <v>-3.607862101851008</v>
      </c>
      <c r="J12" s="20">
        <v>111</v>
      </c>
      <c r="K12" s="20">
        <v>5532</v>
      </c>
      <c r="L12" s="20">
        <f>K12/J12*1000</f>
        <v>49837.83783783784</v>
      </c>
      <c r="M12" s="21">
        <f>(L12-L11)/L11*100</f>
        <v>-2.7474517881876581</v>
      </c>
      <c r="N12" s="21">
        <v>0.9</v>
      </c>
      <c r="O12" s="21">
        <v>44.3</v>
      </c>
      <c r="P12" s="20">
        <f>O12/N12*1000</f>
        <v>49222.222222222212</v>
      </c>
      <c r="Q12" s="21">
        <f>(P12-P11)/P11*100</f>
        <v>2.0737327188939942</v>
      </c>
    </row>
    <row r="13" spans="1:17" s="127" customFormat="1" ht="20.100000000000001" customHeight="1" x14ac:dyDescent="0.2">
      <c r="A13" s="141" t="s">
        <v>55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7" s="127" customFormat="1" ht="20.100000000000001" customHeight="1" x14ac:dyDescent="0.2">
      <c r="A14" s="15" t="s">
        <v>52</v>
      </c>
      <c r="B14" s="18">
        <v>16.600000000000001</v>
      </c>
      <c r="C14" s="18">
        <v>26.5</v>
      </c>
      <c r="D14" s="18">
        <v>1596.3855421686746</v>
      </c>
      <c r="E14" s="21">
        <v>0</v>
      </c>
      <c r="F14" s="18">
        <v>0.1</v>
      </c>
      <c r="G14" s="18">
        <v>0.2</v>
      </c>
      <c r="H14" s="18">
        <v>2000</v>
      </c>
      <c r="I14" s="21">
        <v>0</v>
      </c>
      <c r="J14" s="134">
        <v>30</v>
      </c>
      <c r="K14" s="19">
        <v>71.11</v>
      </c>
      <c r="L14" s="20">
        <v>2370.3333333333335</v>
      </c>
      <c r="M14" s="21">
        <v>0</v>
      </c>
      <c r="N14" s="18">
        <v>1</v>
      </c>
      <c r="O14" s="18">
        <v>1.5</v>
      </c>
      <c r="P14" s="20">
        <v>1500</v>
      </c>
      <c r="Q14" s="21">
        <v>0</v>
      </c>
    </row>
    <row r="15" spans="1:17" s="127" customFormat="1" ht="20.100000000000001" customHeight="1" x14ac:dyDescent="0.2">
      <c r="A15" s="16" t="s">
        <v>53</v>
      </c>
      <c r="B15" s="18">
        <v>19.8</v>
      </c>
      <c r="C15" s="18">
        <v>34</v>
      </c>
      <c r="D15" s="18">
        <v>1717.1717171717171</v>
      </c>
      <c r="E15" s="21">
        <v>7.5662283209453012</v>
      </c>
      <c r="F15" s="18">
        <v>0.1</v>
      </c>
      <c r="G15" s="18">
        <v>0.2</v>
      </c>
      <c r="H15" s="18">
        <v>2000</v>
      </c>
      <c r="I15" s="21">
        <v>0</v>
      </c>
      <c r="J15" s="134">
        <v>30</v>
      </c>
      <c r="K15" s="19">
        <v>85.2</v>
      </c>
      <c r="L15" s="20">
        <v>2840.0000000000005</v>
      </c>
      <c r="M15" s="21">
        <v>19.814372099564068</v>
      </c>
      <c r="N15" s="18">
        <v>1</v>
      </c>
      <c r="O15" s="18">
        <v>1.5</v>
      </c>
      <c r="P15" s="20">
        <v>1500</v>
      </c>
      <c r="Q15" s="21">
        <v>0</v>
      </c>
    </row>
    <row r="16" spans="1:17" s="127" customFormat="1" ht="20.100000000000001" customHeight="1" x14ac:dyDescent="0.2">
      <c r="A16" s="135" t="s">
        <v>91</v>
      </c>
      <c r="B16" s="18">
        <v>19.8</v>
      </c>
      <c r="C16" s="18">
        <v>34</v>
      </c>
      <c r="D16" s="18">
        <f>C16/B16*1000</f>
        <v>1717.1717171717171</v>
      </c>
      <c r="E16" s="21">
        <f>(D16-D15)/D15*100</f>
        <v>0</v>
      </c>
      <c r="F16" s="18">
        <v>0.1</v>
      </c>
      <c r="G16" s="18">
        <v>0.2</v>
      </c>
      <c r="H16" s="18">
        <f>G16/F16*1000</f>
        <v>2000</v>
      </c>
      <c r="I16" s="21">
        <f>(H16-H15)/H15*100</f>
        <v>0</v>
      </c>
      <c r="J16" s="134">
        <v>24.87</v>
      </c>
      <c r="K16" s="19">
        <v>68.010000000000005</v>
      </c>
      <c r="L16" s="20">
        <f>K16/J16*1000</f>
        <v>2734.6200241254523</v>
      </c>
      <c r="M16" s="21">
        <f>(L16-L15)/L15*100</f>
        <v>-3.7105625307939469</v>
      </c>
      <c r="N16" s="18">
        <v>1</v>
      </c>
      <c r="O16" s="18">
        <v>1.5</v>
      </c>
      <c r="P16" s="20">
        <f>O16/N16*1000</f>
        <v>1500</v>
      </c>
      <c r="Q16" s="21">
        <f>(P16-P15)/P15*100</f>
        <v>0</v>
      </c>
    </row>
    <row r="17" spans="1:17" ht="13.1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42" t="s">
        <v>59</v>
      </c>
      <c r="M17" s="142"/>
      <c r="N17" s="142"/>
      <c r="O17" s="142"/>
      <c r="P17" s="142"/>
      <c r="Q17" s="142"/>
    </row>
    <row r="18" spans="1:17" ht="13.15" customHeight="1" x14ac:dyDescent="0.2">
      <c r="A18" s="10" t="s">
        <v>86</v>
      </c>
      <c r="B18" s="10"/>
      <c r="C18" s="10"/>
      <c r="D18" s="10"/>
      <c r="E18" s="10"/>
      <c r="F18" s="10"/>
      <c r="G18" s="10"/>
      <c r="H18" s="10"/>
      <c r="I18" s="10"/>
      <c r="L18" s="143"/>
      <c r="M18" s="143"/>
      <c r="N18" s="143"/>
      <c r="O18" s="143"/>
      <c r="P18" s="143"/>
      <c r="Q18" s="143"/>
    </row>
    <row r="19" spans="1:17" x14ac:dyDescent="0.2">
      <c r="N19" s="17"/>
    </row>
  </sheetData>
  <mergeCells count="10">
    <mergeCell ref="A5:Q5"/>
    <mergeCell ref="A9:Q9"/>
    <mergeCell ref="A13:Q13"/>
    <mergeCell ref="L17:Q18"/>
    <mergeCell ref="A1:Q1"/>
    <mergeCell ref="A3:A4"/>
    <mergeCell ref="B3:E3"/>
    <mergeCell ref="F3:I3"/>
    <mergeCell ref="J3:M3"/>
    <mergeCell ref="N3:Q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pageOrder="overThenDown" orientation="landscape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Normal="170" zoomScaleSheetLayoutView="100" workbookViewId="0">
      <selection activeCell="L5" sqref="L5"/>
    </sheetView>
  </sheetViews>
  <sheetFormatPr defaultColWidth="9.140625" defaultRowHeight="12.75" x14ac:dyDescent="0.2"/>
  <cols>
    <col min="1" max="1" width="20.85546875" style="75" customWidth="1"/>
    <col min="2" max="3" width="10.140625" style="75" bestFit="1" customWidth="1"/>
    <col min="4" max="4" width="9.85546875" style="75" customWidth="1"/>
    <col min="5" max="7" width="12.28515625" style="75" customWidth="1"/>
    <col min="8" max="16384" width="9.140625" style="75"/>
  </cols>
  <sheetData>
    <row r="1" spans="1:7" s="84" customFormat="1" ht="48.75" customHeight="1" x14ac:dyDescent="0.25">
      <c r="A1" s="149" t="s">
        <v>108</v>
      </c>
      <c r="B1" s="149"/>
      <c r="C1" s="149"/>
      <c r="D1" s="149"/>
      <c r="E1" s="149"/>
      <c r="F1" s="149"/>
      <c r="G1" s="149"/>
    </row>
    <row r="2" spans="1:7" s="76" customFormat="1" ht="12" x14ac:dyDescent="0.2">
      <c r="A2" s="76" t="s">
        <v>100</v>
      </c>
    </row>
    <row r="3" spans="1:7" ht="25.5" customHeight="1" x14ac:dyDescent="0.2">
      <c r="A3" s="152" t="s">
        <v>68</v>
      </c>
      <c r="B3" s="151" t="s">
        <v>67</v>
      </c>
      <c r="C3" s="151"/>
      <c r="D3" s="151"/>
      <c r="E3" s="151"/>
      <c r="F3" s="151"/>
      <c r="G3" s="151"/>
    </row>
    <row r="4" spans="1:7" ht="25.5" customHeight="1" x14ac:dyDescent="0.2">
      <c r="A4" s="153"/>
      <c r="B4" s="151">
        <v>1984</v>
      </c>
      <c r="C4" s="151">
        <v>1994</v>
      </c>
      <c r="D4" s="151">
        <v>2004</v>
      </c>
      <c r="E4" s="151" t="s">
        <v>66</v>
      </c>
      <c r="F4" s="151"/>
      <c r="G4" s="151"/>
    </row>
    <row r="5" spans="1:7" ht="45" x14ac:dyDescent="0.2">
      <c r="A5" s="154"/>
      <c r="B5" s="151"/>
      <c r="C5" s="151"/>
      <c r="D5" s="151"/>
      <c r="E5" s="83" t="s">
        <v>88</v>
      </c>
      <c r="F5" s="83" t="s">
        <v>89</v>
      </c>
      <c r="G5" s="83" t="s">
        <v>90</v>
      </c>
    </row>
    <row r="6" spans="1:7" ht="25.5" customHeight="1" x14ac:dyDescent="0.2">
      <c r="A6" s="82" t="s">
        <v>63</v>
      </c>
      <c r="B6" s="81">
        <f>SUM(B7:B10)</f>
        <v>237990</v>
      </c>
      <c r="C6" s="81">
        <f>SUM(C7:C10)</f>
        <v>454257</v>
      </c>
      <c r="D6" s="81">
        <f>SUM(D7:D10)</f>
        <v>931048</v>
      </c>
      <c r="E6" s="81">
        <f t="shared" ref="E6:F10" si="0">(C6-B6)/B6*100</f>
        <v>90.872305559057097</v>
      </c>
      <c r="F6" s="81">
        <f t="shared" si="0"/>
        <v>104.96062801453803</v>
      </c>
      <c r="G6" s="81">
        <f>(D6-B6)/B6*100</f>
        <v>291.21307617967142</v>
      </c>
    </row>
    <row r="7" spans="1:7" ht="25.5" customHeight="1" x14ac:dyDescent="0.2">
      <c r="A7" s="80" t="s">
        <v>2</v>
      </c>
      <c r="B7" s="79">
        <v>214106</v>
      </c>
      <c r="C7" s="79">
        <v>414188</v>
      </c>
      <c r="D7" s="79">
        <v>837904</v>
      </c>
      <c r="E7" s="79">
        <f t="shared" si="0"/>
        <v>93.449973377672748</v>
      </c>
      <c r="F7" s="79">
        <f t="shared" si="0"/>
        <v>102.30040464716505</v>
      </c>
      <c r="G7" s="79">
        <f>(D7-B7)/B7*100</f>
        <v>291.35007893286502</v>
      </c>
    </row>
    <row r="8" spans="1:7" ht="25.5" customHeight="1" x14ac:dyDescent="0.2">
      <c r="A8" s="80" t="s">
        <v>35</v>
      </c>
      <c r="B8" s="79">
        <v>9481</v>
      </c>
      <c r="C8" s="79">
        <v>16236</v>
      </c>
      <c r="D8" s="79">
        <v>50683</v>
      </c>
      <c r="E8" s="79">
        <f t="shared" si="0"/>
        <v>71.247758675245237</v>
      </c>
      <c r="F8" s="79">
        <f t="shared" si="0"/>
        <v>212.16432618871642</v>
      </c>
      <c r="G8" s="79">
        <f>(D8-B8)/B8*100</f>
        <v>434.57441198185842</v>
      </c>
    </row>
    <row r="9" spans="1:7" ht="25.5" customHeight="1" x14ac:dyDescent="0.2">
      <c r="A9" s="80" t="s">
        <v>30</v>
      </c>
      <c r="B9" s="79">
        <v>9217</v>
      </c>
      <c r="C9" s="79">
        <v>14365</v>
      </c>
      <c r="D9" s="79">
        <v>21524</v>
      </c>
      <c r="E9" s="79">
        <f t="shared" si="0"/>
        <v>55.853314527503528</v>
      </c>
      <c r="F9" s="79">
        <f t="shared" si="0"/>
        <v>49.836407935955442</v>
      </c>
      <c r="G9" s="79">
        <f>(D9-B9)/B9*100</f>
        <v>133.52500813713789</v>
      </c>
    </row>
    <row r="10" spans="1:7" ht="25.5" customHeight="1" x14ac:dyDescent="0.2">
      <c r="A10" s="80" t="s">
        <v>34</v>
      </c>
      <c r="B10" s="79">
        <v>5186</v>
      </c>
      <c r="C10" s="79">
        <v>9468</v>
      </c>
      <c r="D10" s="79">
        <v>20937</v>
      </c>
      <c r="E10" s="79">
        <f t="shared" si="0"/>
        <v>82.568453528731197</v>
      </c>
      <c r="F10" s="79">
        <f t="shared" si="0"/>
        <v>121.1343472750317</v>
      </c>
      <c r="G10" s="79">
        <f>(D10-B10)/B10*100</f>
        <v>303.7215580408793</v>
      </c>
    </row>
    <row r="11" spans="1:7" x14ac:dyDescent="0.2">
      <c r="A11" s="78"/>
      <c r="B11" s="78"/>
      <c r="C11" s="78"/>
      <c r="D11" s="78"/>
      <c r="E11" s="78"/>
      <c r="F11" s="78"/>
    </row>
    <row r="12" spans="1:7" s="76" customFormat="1" ht="12.75" customHeight="1" x14ac:dyDescent="0.2">
      <c r="B12" s="77"/>
      <c r="C12" s="77"/>
      <c r="D12" s="150" t="s">
        <v>62</v>
      </c>
      <c r="E12" s="150"/>
      <c r="F12" s="150"/>
      <c r="G12" s="150"/>
    </row>
  </sheetData>
  <mergeCells count="8">
    <mergeCell ref="A1:G1"/>
    <mergeCell ref="D12:G12"/>
    <mergeCell ref="E4:G4"/>
    <mergeCell ref="B3:G3"/>
    <mergeCell ref="D4:D5"/>
    <mergeCell ref="A3:A5"/>
    <mergeCell ref="B4:B5"/>
    <mergeCell ref="C4:C5"/>
  </mergeCells>
  <pageMargins left="0.75" right="0.75" top="0.74803149606299202" bottom="0.74803149606299202" header="0.31496062992126" footer="0.31496062992126"/>
  <pageSetup paperSize="9" orientation="portrait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SheetLayoutView="100" workbookViewId="0">
      <selection sqref="A1:J1"/>
    </sheetView>
  </sheetViews>
  <sheetFormatPr defaultRowHeight="12.75" x14ac:dyDescent="0.2"/>
  <cols>
    <col min="1" max="1" width="19.7109375" style="85" customWidth="1"/>
    <col min="2" max="10" width="12.28515625" style="85" customWidth="1"/>
    <col min="11" max="16384" width="9.140625" style="85"/>
  </cols>
  <sheetData>
    <row r="1" spans="1:10" s="94" customFormat="1" ht="60" customHeight="1" x14ac:dyDescent="0.25">
      <c r="A1" s="156" t="s">
        <v>109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128" customFormat="1" ht="12.6" customHeight="1" x14ac:dyDescent="0.2">
      <c r="A2" s="130" t="s">
        <v>101</v>
      </c>
    </row>
    <row r="3" spans="1:10" s="93" customFormat="1" ht="25.5" customHeight="1" x14ac:dyDescent="0.2">
      <c r="A3" s="155" t="s">
        <v>68</v>
      </c>
      <c r="B3" s="157" t="s">
        <v>78</v>
      </c>
      <c r="C3" s="158"/>
      <c r="D3" s="158"/>
      <c r="E3" s="158"/>
      <c r="F3" s="158"/>
      <c r="G3" s="159"/>
      <c r="H3" s="155" t="s">
        <v>77</v>
      </c>
      <c r="I3" s="155"/>
      <c r="J3" s="155"/>
    </row>
    <row r="4" spans="1:10" s="93" customFormat="1" ht="25.5" customHeight="1" x14ac:dyDescent="0.2">
      <c r="A4" s="155"/>
      <c r="B4" s="155" t="s">
        <v>76</v>
      </c>
      <c r="C4" s="155"/>
      <c r="D4" s="155"/>
      <c r="E4" s="157" t="s">
        <v>75</v>
      </c>
      <c r="F4" s="158"/>
      <c r="G4" s="159"/>
      <c r="H4" s="155" t="s">
        <v>74</v>
      </c>
      <c r="I4" s="155"/>
      <c r="J4" s="155"/>
    </row>
    <row r="5" spans="1:10" s="93" customFormat="1" ht="25.5" customHeight="1" x14ac:dyDescent="0.2">
      <c r="A5" s="155"/>
      <c r="B5" s="121">
        <v>1984</v>
      </c>
      <c r="C5" s="121">
        <v>1994</v>
      </c>
      <c r="D5" s="121">
        <v>2004</v>
      </c>
      <c r="E5" s="121" t="s">
        <v>65</v>
      </c>
      <c r="F5" s="121" t="s">
        <v>64</v>
      </c>
      <c r="G5" s="131" t="s">
        <v>87</v>
      </c>
      <c r="H5" s="121" t="s">
        <v>73</v>
      </c>
      <c r="I5" s="121" t="s">
        <v>72</v>
      </c>
      <c r="J5" s="121" t="s">
        <v>71</v>
      </c>
    </row>
    <row r="6" spans="1:10" s="129" customFormat="1" ht="25.5" customHeight="1" x14ac:dyDescent="0.2">
      <c r="A6" s="92" t="s">
        <v>63</v>
      </c>
      <c r="B6" s="91">
        <f>SUM(B7:B10)</f>
        <v>157310</v>
      </c>
      <c r="C6" s="91">
        <f>SUM(C7:C10)</f>
        <v>252861</v>
      </c>
      <c r="D6" s="91">
        <f>SUM(D7:D10)</f>
        <v>401663</v>
      </c>
      <c r="E6" s="91">
        <f t="shared" ref="E6:F10" si="0">(C6-B6)/B6*100</f>
        <v>60.740575932871401</v>
      </c>
      <c r="F6" s="91">
        <f t="shared" si="0"/>
        <v>58.847350916115971</v>
      </c>
      <c r="G6" s="132">
        <f>(D6-B6)/B6*100</f>
        <v>155.33214671667409</v>
      </c>
      <c r="H6" s="91">
        <f>SUM(I6:J6)</f>
        <v>401663</v>
      </c>
      <c r="I6" s="91">
        <f>SUM(I7:I10)</f>
        <v>400446</v>
      </c>
      <c r="J6" s="91">
        <f>SUM(J7:J10)</f>
        <v>1217</v>
      </c>
    </row>
    <row r="7" spans="1:10" s="129" customFormat="1" ht="25.5" customHeight="1" x14ac:dyDescent="0.2">
      <c r="A7" s="90" t="s">
        <v>2</v>
      </c>
      <c r="B7" s="88">
        <v>127589</v>
      </c>
      <c r="C7" s="88">
        <v>210628</v>
      </c>
      <c r="D7" s="88">
        <v>331905</v>
      </c>
      <c r="E7" s="89">
        <f t="shared" si="0"/>
        <v>65.08319682731269</v>
      </c>
      <c r="F7" s="89">
        <f t="shared" si="0"/>
        <v>57.578764456767381</v>
      </c>
      <c r="G7" s="133">
        <f t="shared" ref="G7:G10" si="1">(D7-B7)/B7*100</f>
        <v>160.13606188621276</v>
      </c>
      <c r="H7" s="88">
        <f>SUM(I7:J7)</f>
        <v>331905</v>
      </c>
      <c r="I7" s="88">
        <v>331273</v>
      </c>
      <c r="J7" s="88">
        <v>632</v>
      </c>
    </row>
    <row r="8" spans="1:10" s="129" customFormat="1" ht="25.5" customHeight="1" x14ac:dyDescent="0.2">
      <c r="A8" s="90" t="s">
        <v>35</v>
      </c>
      <c r="B8" s="88">
        <v>16542</v>
      </c>
      <c r="C8" s="88">
        <v>23182</v>
      </c>
      <c r="D8" s="88">
        <v>36245</v>
      </c>
      <c r="E8" s="89">
        <f t="shared" si="0"/>
        <v>40.140249062991174</v>
      </c>
      <c r="F8" s="89">
        <f t="shared" si="0"/>
        <v>56.349754119575536</v>
      </c>
      <c r="G8" s="133">
        <f t="shared" si="1"/>
        <v>119.10893483254745</v>
      </c>
      <c r="H8" s="88">
        <f>SUM(I8:J8)</f>
        <v>36245</v>
      </c>
      <c r="I8" s="88">
        <v>36082</v>
      </c>
      <c r="J8" s="88">
        <v>163</v>
      </c>
    </row>
    <row r="9" spans="1:10" s="129" customFormat="1" ht="25.5" customHeight="1" x14ac:dyDescent="0.2">
      <c r="A9" s="90" t="s">
        <v>30</v>
      </c>
      <c r="B9" s="88">
        <v>10105</v>
      </c>
      <c r="C9" s="88">
        <v>14571</v>
      </c>
      <c r="D9" s="88">
        <v>24269</v>
      </c>
      <c r="E9" s="89">
        <f t="shared" si="0"/>
        <v>44.195942602671948</v>
      </c>
      <c r="F9" s="89">
        <f t="shared" si="0"/>
        <v>66.556859515475935</v>
      </c>
      <c r="G9" s="133">
        <f t="shared" si="1"/>
        <v>140.16823354774863</v>
      </c>
      <c r="H9" s="88">
        <f>SUM(I9:J9)</f>
        <v>24269</v>
      </c>
      <c r="I9" s="88">
        <v>23967</v>
      </c>
      <c r="J9" s="88">
        <v>302</v>
      </c>
    </row>
    <row r="10" spans="1:10" s="129" customFormat="1" ht="25.5" customHeight="1" x14ac:dyDescent="0.2">
      <c r="A10" s="90" t="s">
        <v>34</v>
      </c>
      <c r="B10" s="88">
        <v>3074</v>
      </c>
      <c r="C10" s="88">
        <v>4480</v>
      </c>
      <c r="D10" s="88">
        <v>9244</v>
      </c>
      <c r="E10" s="89">
        <f t="shared" si="0"/>
        <v>45.73845152895251</v>
      </c>
      <c r="F10" s="89">
        <f t="shared" si="0"/>
        <v>106.33928571428572</v>
      </c>
      <c r="G10" s="133">
        <f t="shared" si="1"/>
        <v>200.7156798959011</v>
      </c>
      <c r="H10" s="88">
        <f>SUM(I10:J10)</f>
        <v>9244</v>
      </c>
      <c r="I10" s="88">
        <v>9124</v>
      </c>
      <c r="J10" s="88">
        <v>120</v>
      </c>
    </row>
    <row r="12" spans="1:10" s="86" customFormat="1" ht="12" x14ac:dyDescent="0.2">
      <c r="A12" s="86" t="s">
        <v>70</v>
      </c>
      <c r="F12" s="77"/>
      <c r="G12" s="77"/>
      <c r="H12" s="77"/>
      <c r="I12" s="77"/>
      <c r="J12" s="87" t="s">
        <v>69</v>
      </c>
    </row>
  </sheetData>
  <mergeCells count="7">
    <mergeCell ref="H3:J3"/>
    <mergeCell ref="H4:J4"/>
    <mergeCell ref="A1:J1"/>
    <mergeCell ref="A3:A5"/>
    <mergeCell ref="B4:D4"/>
    <mergeCell ref="B3:G3"/>
    <mergeCell ref="E4:G4"/>
  </mergeCells>
  <pageMargins left="0.70866141732283505" right="0.70866141732283505" top="0.74803149606299202" bottom="0.74803149606299202" header="0.31496062992126" footer="0.31496062992126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Table.229</vt:lpstr>
      <vt:lpstr>Table.230</vt:lpstr>
      <vt:lpstr>Table.231</vt:lpstr>
      <vt:lpstr>Table.232</vt:lpstr>
      <vt:lpstr>Table.233</vt:lpstr>
      <vt:lpstr>Table.234</vt:lpstr>
      <vt:lpstr>Table.235</vt:lpstr>
      <vt:lpstr>Table.236</vt:lpstr>
      <vt:lpstr>Table.229!Print_Area</vt:lpstr>
      <vt:lpstr>Table.230!Print_Area</vt:lpstr>
      <vt:lpstr>Table.231!Print_Area</vt:lpstr>
      <vt:lpstr>Table.232!Print_Area</vt:lpstr>
      <vt:lpstr>Table.233!Print_Area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Saqib</cp:lastModifiedBy>
  <cp:lastPrinted>2021-08-04T09:31:10Z</cp:lastPrinted>
  <dcterms:created xsi:type="dcterms:W3CDTF">2002-09-13T04:29:54Z</dcterms:created>
  <dcterms:modified xsi:type="dcterms:W3CDTF">2021-08-05T09:42:16Z</dcterms:modified>
</cp:coreProperties>
</file>