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qib\Desktop\DS 2021==final_04082021\Agriculture\"/>
    </mc:Choice>
  </mc:AlternateContent>
  <bookViews>
    <workbookView xWindow="-120" yWindow="-120" windowWidth="29040" windowHeight="15840" tabRatio="458" activeTab="5"/>
  </bookViews>
  <sheets>
    <sheet name="Table 41-42" sheetId="1" r:id="rId1"/>
    <sheet name="Table 43" sheetId="2" r:id="rId2"/>
    <sheet name="Table 44" sheetId="3" r:id="rId3"/>
    <sheet name="Table 45" sheetId="8" r:id="rId4"/>
    <sheet name="Table 46" sheetId="9" r:id="rId5"/>
    <sheet name="Table 47" sheetId="10" r:id="rId6"/>
  </sheets>
  <definedNames>
    <definedName name="_xlnm.Print_Area" localSheetId="0">'Table 41-42'!$A$1:$D$29</definedName>
    <definedName name="_xlnm.Print_Area" localSheetId="1">'Table 43'!$A$1:$K$118</definedName>
    <definedName name="_xlnm.Print_Area" localSheetId="2">'Table 44'!$A$1:$C$8</definedName>
    <definedName name="_xlnm.Print_Area" localSheetId="4">'Table 46'!$A$1:$N$38</definedName>
    <definedName name="_xlnm.Print_Area" localSheetId="5">'Table 47'!$A$1:$J$99</definedName>
  </definedNames>
  <calcPr calcId="162913" iterateDelta="0"/>
</workbook>
</file>

<file path=xl/calcChain.xml><?xml version="1.0" encoding="utf-8"?>
<calcChain xmlns="http://schemas.openxmlformats.org/spreadsheetml/2006/main"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2" i="9"/>
  <c r="D23" i="9"/>
  <c r="D24" i="9"/>
  <c r="D25" i="9"/>
  <c r="D26" i="9"/>
  <c r="D28" i="9"/>
  <c r="D30" i="9"/>
  <c r="D32" i="9"/>
  <c r="D33" i="9"/>
  <c r="D34" i="9"/>
  <c r="D35" i="9"/>
  <c r="D36" i="9"/>
  <c r="D5" i="9"/>
  <c r="N4" i="9" l="1"/>
  <c r="E97" i="10" l="1"/>
  <c r="E96" i="10" s="1"/>
  <c r="J96" i="10"/>
  <c r="I96" i="10"/>
  <c r="H96" i="10"/>
  <c r="G96" i="10"/>
  <c r="F96" i="10"/>
  <c r="D96" i="10"/>
  <c r="C96" i="10"/>
  <c r="F95" i="10"/>
  <c r="E95" i="10" s="1"/>
  <c r="E94" i="10" s="1"/>
  <c r="D95" i="10"/>
  <c r="C95" i="10"/>
  <c r="J94" i="10"/>
  <c r="I94" i="10"/>
  <c r="H94" i="10"/>
  <c r="G94" i="10"/>
  <c r="D94" i="10"/>
  <c r="C94" i="10"/>
  <c r="E93" i="10"/>
  <c r="E92" i="10"/>
  <c r="E91" i="10" s="1"/>
  <c r="J91" i="10"/>
  <c r="I91" i="10"/>
  <c r="H91" i="10"/>
  <c r="G91" i="10"/>
  <c r="F91" i="10"/>
  <c r="D91" i="10"/>
  <c r="C91" i="10"/>
  <c r="E90" i="10"/>
  <c r="E89" i="10"/>
  <c r="E88" i="10"/>
  <c r="J87" i="10"/>
  <c r="I87" i="10"/>
  <c r="H87" i="10"/>
  <c r="G87" i="10"/>
  <c r="F87" i="10"/>
  <c r="D87" i="10"/>
  <c r="C87" i="10"/>
  <c r="E86" i="10"/>
  <c r="E85" i="10"/>
  <c r="J84" i="10"/>
  <c r="I84" i="10"/>
  <c r="H84" i="10"/>
  <c r="G84" i="10"/>
  <c r="F84" i="10"/>
  <c r="D84" i="10"/>
  <c r="C84" i="10"/>
  <c r="F77" i="10"/>
  <c r="E77" i="10" s="1"/>
  <c r="E76" i="10" s="1"/>
  <c r="D77" i="10"/>
  <c r="D76" i="10" s="1"/>
  <c r="C77" i="10"/>
  <c r="C76" i="10" s="1"/>
  <c r="J76" i="10"/>
  <c r="I76" i="10"/>
  <c r="H76" i="10"/>
  <c r="G76" i="10"/>
  <c r="F76" i="10"/>
  <c r="E74" i="10"/>
  <c r="J73" i="10"/>
  <c r="I73" i="10"/>
  <c r="H73" i="10"/>
  <c r="G73" i="10"/>
  <c r="F73" i="10"/>
  <c r="D73" i="10"/>
  <c r="C73" i="10"/>
  <c r="E71" i="10"/>
  <c r="E70" i="10"/>
  <c r="E69" i="10"/>
  <c r="J68" i="10"/>
  <c r="I68" i="10"/>
  <c r="H68" i="10"/>
  <c r="G68" i="10"/>
  <c r="F68" i="10"/>
  <c r="D68" i="10"/>
  <c r="C68" i="10"/>
  <c r="E67" i="10"/>
  <c r="E66" i="10"/>
  <c r="E65" i="10"/>
  <c r="J64" i="10"/>
  <c r="I64" i="10"/>
  <c r="H64" i="10"/>
  <c r="G64" i="10"/>
  <c r="F64" i="10"/>
  <c r="D64" i="10"/>
  <c r="C64" i="10"/>
  <c r="E63" i="10"/>
  <c r="E62" i="10" s="1"/>
  <c r="J62" i="10"/>
  <c r="I62" i="10"/>
  <c r="H62" i="10"/>
  <c r="G62" i="10"/>
  <c r="F62" i="10"/>
  <c r="D62" i="10"/>
  <c r="C62" i="10"/>
  <c r="E61" i="10"/>
  <c r="F60" i="10"/>
  <c r="E60" i="10" s="1"/>
  <c r="E59" i="10" s="1"/>
  <c r="D60" i="10"/>
  <c r="C60" i="10"/>
  <c r="C59" i="10" s="1"/>
  <c r="J59" i="10"/>
  <c r="I59" i="10"/>
  <c r="H59" i="10"/>
  <c r="G59" i="10"/>
  <c r="D59" i="10"/>
  <c r="E57" i="10"/>
  <c r="E56" i="10"/>
  <c r="E55" i="10"/>
  <c r="E54" i="10" s="1"/>
  <c r="J54" i="10"/>
  <c r="I54" i="10"/>
  <c r="H54" i="10"/>
  <c r="G54" i="10"/>
  <c r="F54" i="10"/>
  <c r="D54" i="10"/>
  <c r="C54" i="10"/>
  <c r="J53" i="10"/>
  <c r="J52" i="10" s="1"/>
  <c r="H53" i="10"/>
  <c r="H52" i="10" s="1"/>
  <c r="G53" i="10"/>
  <c r="G52" i="10" s="1"/>
  <c r="F53" i="10"/>
  <c r="D53" i="10"/>
  <c r="D52" i="10" s="1"/>
  <c r="C53" i="10"/>
  <c r="C52" i="10" s="1"/>
  <c r="I52" i="10"/>
  <c r="F52" i="10"/>
  <c r="E51" i="10"/>
  <c r="E50" i="10"/>
  <c r="E49" i="10"/>
  <c r="E48" i="10"/>
  <c r="J47" i="10"/>
  <c r="I47" i="10"/>
  <c r="H47" i="10"/>
  <c r="G47" i="10"/>
  <c r="F47" i="10"/>
  <c r="D47" i="10"/>
  <c r="C47" i="10"/>
  <c r="E46" i="10"/>
  <c r="E44" i="10" s="1"/>
  <c r="E45" i="10"/>
  <c r="J44" i="10"/>
  <c r="I44" i="10"/>
  <c r="H44" i="10"/>
  <c r="G44" i="10"/>
  <c r="F44" i="10"/>
  <c r="D44" i="10"/>
  <c r="C44" i="10"/>
  <c r="E38" i="10"/>
  <c r="E37" i="10"/>
  <c r="J36" i="10"/>
  <c r="I36" i="10"/>
  <c r="H36" i="10"/>
  <c r="G36" i="10"/>
  <c r="F36" i="10"/>
  <c r="D36" i="10"/>
  <c r="C36" i="10"/>
  <c r="E35" i="10"/>
  <c r="E34" i="10"/>
  <c r="J33" i="10"/>
  <c r="I33" i="10"/>
  <c r="H33" i="10"/>
  <c r="G33" i="10"/>
  <c r="F33" i="10"/>
  <c r="D33" i="10"/>
  <c r="C33" i="10"/>
  <c r="E32" i="10"/>
  <c r="E31" i="10"/>
  <c r="E30" i="10" s="1"/>
  <c r="J30" i="10"/>
  <c r="I30" i="10"/>
  <c r="H30" i="10"/>
  <c r="G30" i="10"/>
  <c r="F30" i="10"/>
  <c r="D30" i="10"/>
  <c r="C30" i="10"/>
  <c r="E29" i="10"/>
  <c r="E28" i="10"/>
  <c r="E27" i="10"/>
  <c r="E26" i="10"/>
  <c r="F25" i="10"/>
  <c r="E25" i="10"/>
  <c r="D25" i="10"/>
  <c r="D24" i="10" s="1"/>
  <c r="C25" i="10"/>
  <c r="C24" i="10" s="1"/>
  <c r="J24" i="10"/>
  <c r="I24" i="10"/>
  <c r="H24" i="10"/>
  <c r="G24" i="10"/>
  <c r="F24" i="10"/>
  <c r="E23" i="10"/>
  <c r="E22" i="10"/>
  <c r="E21" i="10" s="1"/>
  <c r="J21" i="10"/>
  <c r="I21" i="10"/>
  <c r="H21" i="10"/>
  <c r="G21" i="10"/>
  <c r="F21" i="10"/>
  <c r="D21" i="10"/>
  <c r="C21" i="10"/>
  <c r="E20" i="10"/>
  <c r="E19" i="10"/>
  <c r="E18" i="10"/>
  <c r="J17" i="10"/>
  <c r="I17" i="10"/>
  <c r="H17" i="10"/>
  <c r="G17" i="10"/>
  <c r="F17" i="10"/>
  <c r="D17" i="10"/>
  <c r="C17" i="10"/>
  <c r="E16" i="10"/>
  <c r="E15" i="10"/>
  <c r="E14" i="10" s="1"/>
  <c r="J14" i="10"/>
  <c r="I14" i="10"/>
  <c r="H14" i="10"/>
  <c r="G14" i="10"/>
  <c r="F14" i="10"/>
  <c r="D14" i="10"/>
  <c r="C14" i="10"/>
  <c r="E13" i="10"/>
  <c r="E12" i="10"/>
  <c r="J11" i="10"/>
  <c r="I11" i="10"/>
  <c r="H11" i="10"/>
  <c r="G11" i="10"/>
  <c r="F11" i="10"/>
  <c r="D11" i="10"/>
  <c r="C11" i="10"/>
  <c r="H10" i="10"/>
  <c r="G10" i="10"/>
  <c r="F10" i="10"/>
  <c r="E10" i="10"/>
  <c r="E9" i="10" s="1"/>
  <c r="D10" i="10"/>
  <c r="D9" i="10" s="1"/>
  <c r="C10" i="10"/>
  <c r="C9" i="10" s="1"/>
  <c r="J9" i="10"/>
  <c r="I9" i="10"/>
  <c r="H9" i="10"/>
  <c r="G9" i="10"/>
  <c r="F9" i="10"/>
  <c r="E7" i="10"/>
  <c r="E6" i="10" s="1"/>
  <c r="J6" i="10"/>
  <c r="I6" i="10"/>
  <c r="H6" i="10"/>
  <c r="G6" i="10"/>
  <c r="F6" i="10"/>
  <c r="D6" i="10"/>
  <c r="C6" i="10"/>
  <c r="F94" i="10" l="1"/>
  <c r="E47" i="10"/>
  <c r="E87" i="10"/>
  <c r="F59" i="10"/>
  <c r="F5" i="10"/>
  <c r="E64" i="10"/>
  <c r="E36" i="10"/>
  <c r="E11" i="10"/>
  <c r="J5" i="10"/>
  <c r="D5" i="10"/>
  <c r="E17" i="10"/>
  <c r="E84" i="10"/>
  <c r="G5" i="10"/>
  <c r="E24" i="10"/>
  <c r="E33" i="10"/>
  <c r="H5" i="10"/>
  <c r="E53" i="10"/>
  <c r="E68" i="10"/>
  <c r="I5" i="10"/>
  <c r="E52" i="10"/>
  <c r="E73" i="10"/>
  <c r="C5" i="10"/>
  <c r="B6" i="9"/>
  <c r="B36" i="9"/>
  <c r="B33" i="9"/>
  <c r="B32" i="9"/>
  <c r="B31" i="9"/>
  <c r="B29" i="9"/>
  <c r="B28" i="9"/>
  <c r="B27" i="9"/>
  <c r="B26" i="9"/>
  <c r="B25" i="9"/>
  <c r="B24" i="9"/>
  <c r="B23" i="9"/>
  <c r="B20" i="9"/>
  <c r="B18" i="9"/>
  <c r="B17" i="9"/>
  <c r="B16" i="9"/>
  <c r="B14" i="9"/>
  <c r="B13" i="9"/>
  <c r="B11" i="9"/>
  <c r="B10" i="9"/>
  <c r="B9" i="9"/>
  <c r="B8" i="9"/>
  <c r="B34" i="9"/>
  <c r="B15" i="9"/>
  <c r="E5" i="10" l="1"/>
  <c r="B5" i="9"/>
  <c r="E7" i="9"/>
  <c r="F7" i="9"/>
  <c r="G7" i="9"/>
  <c r="H7" i="9"/>
  <c r="I7" i="9"/>
  <c r="J7" i="9"/>
  <c r="K7" i="9"/>
  <c r="K4" i="9" s="1"/>
  <c r="L7" i="9"/>
  <c r="M7" i="9"/>
  <c r="E12" i="9"/>
  <c r="F12" i="9"/>
  <c r="G12" i="9"/>
  <c r="H12" i="9"/>
  <c r="I12" i="9"/>
  <c r="J12" i="9"/>
  <c r="K12" i="9"/>
  <c r="L12" i="9"/>
  <c r="M12" i="9"/>
  <c r="E19" i="9"/>
  <c r="F19" i="9"/>
  <c r="G19" i="9"/>
  <c r="H19" i="9"/>
  <c r="I19" i="9"/>
  <c r="J19" i="9"/>
  <c r="K19" i="9"/>
  <c r="L19" i="9"/>
  <c r="M19" i="9"/>
  <c r="E22" i="9"/>
  <c r="F22" i="9"/>
  <c r="G22" i="9"/>
  <c r="H22" i="9"/>
  <c r="I22" i="9"/>
  <c r="J22" i="9"/>
  <c r="K22" i="9"/>
  <c r="L22" i="9"/>
  <c r="M22" i="9"/>
  <c r="E30" i="9"/>
  <c r="F30" i="9"/>
  <c r="G30" i="9"/>
  <c r="H30" i="9"/>
  <c r="I30" i="9"/>
  <c r="J30" i="9"/>
  <c r="K30" i="9"/>
  <c r="E35" i="9"/>
  <c r="F35" i="9"/>
  <c r="G35" i="9"/>
  <c r="H35" i="9"/>
  <c r="I35" i="9"/>
  <c r="J35" i="9"/>
  <c r="K35" i="9"/>
  <c r="L35" i="9"/>
  <c r="M35" i="9"/>
  <c r="M4" i="9" l="1"/>
  <c r="L4" i="9"/>
  <c r="B35" i="9"/>
  <c r="G4" i="9"/>
  <c r="F4" i="9"/>
  <c r="E4" i="9"/>
  <c r="B7" i="9"/>
  <c r="B4" i="9" s="1"/>
  <c r="B19" i="9"/>
  <c r="H4" i="9"/>
  <c r="J4" i="9"/>
  <c r="B22" i="9"/>
  <c r="B30" i="9"/>
  <c r="B12" i="9"/>
  <c r="I4" i="9"/>
  <c r="D4" i="9" l="1"/>
  <c r="J32" i="2" l="1"/>
  <c r="H32" i="2" s="1"/>
  <c r="J21" i="2"/>
  <c r="J14" i="2"/>
  <c r="B5" i="1"/>
  <c r="K60" i="2"/>
  <c r="K53" i="2"/>
  <c r="K48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H46" i="2"/>
  <c r="H47" i="2"/>
  <c r="H49" i="2"/>
  <c r="H50" i="2"/>
  <c r="H51" i="2"/>
  <c r="H52" i="2"/>
  <c r="H54" i="2"/>
  <c r="H55" i="2"/>
  <c r="H56" i="2"/>
  <c r="H57" i="2"/>
  <c r="H58" i="2"/>
  <c r="H59" i="2"/>
  <c r="H61" i="2"/>
  <c r="H62" i="2"/>
  <c r="H63" i="2"/>
  <c r="H64" i="2"/>
  <c r="H65" i="2"/>
  <c r="H66" i="2"/>
  <c r="H67" i="2"/>
  <c r="H68" i="2"/>
  <c r="H69" i="2"/>
  <c r="H70" i="2"/>
  <c r="H72" i="2"/>
  <c r="H73" i="2"/>
  <c r="H74" i="2"/>
  <c r="H75" i="2"/>
  <c r="H76" i="2"/>
  <c r="F46" i="2"/>
  <c r="F47" i="2"/>
  <c r="F49" i="2"/>
  <c r="F50" i="2"/>
  <c r="F51" i="2"/>
  <c r="F52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68" i="2"/>
  <c r="F69" i="2"/>
  <c r="F70" i="2"/>
  <c r="F72" i="2"/>
  <c r="F73" i="2"/>
  <c r="F74" i="2"/>
  <c r="F75" i="2"/>
  <c r="F76" i="2"/>
  <c r="C46" i="2"/>
  <c r="C47" i="2"/>
  <c r="C49" i="2"/>
  <c r="C50" i="2"/>
  <c r="C51" i="2"/>
  <c r="C52" i="2"/>
  <c r="C54" i="2"/>
  <c r="C55" i="2"/>
  <c r="C56" i="2"/>
  <c r="C57" i="2"/>
  <c r="C58" i="2"/>
  <c r="C59" i="2"/>
  <c r="C61" i="2"/>
  <c r="C62" i="2"/>
  <c r="C63" i="2"/>
  <c r="C64" i="2"/>
  <c r="C65" i="2"/>
  <c r="C66" i="2"/>
  <c r="C67" i="2"/>
  <c r="C68" i="2"/>
  <c r="C69" i="2"/>
  <c r="C70" i="2"/>
  <c r="C72" i="2"/>
  <c r="C73" i="2"/>
  <c r="C74" i="2"/>
  <c r="C75" i="2"/>
  <c r="C76" i="2"/>
  <c r="H7" i="2"/>
  <c r="H8" i="2"/>
  <c r="H9" i="2"/>
  <c r="H10" i="2"/>
  <c r="H11" i="2"/>
  <c r="H12" i="2"/>
  <c r="H13" i="2"/>
  <c r="H15" i="2"/>
  <c r="H16" i="2"/>
  <c r="B16" i="2" s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F7" i="2"/>
  <c r="F8" i="2"/>
  <c r="F9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C7" i="2"/>
  <c r="C8" i="2"/>
  <c r="C9" i="2"/>
  <c r="C10" i="2"/>
  <c r="B10" i="2" s="1"/>
  <c r="C11" i="2"/>
  <c r="C12" i="2"/>
  <c r="B12" i="2" s="1"/>
  <c r="C13" i="2"/>
  <c r="C14" i="2"/>
  <c r="C15" i="2"/>
  <c r="C16" i="2"/>
  <c r="C17" i="2"/>
  <c r="C18" i="2"/>
  <c r="B18" i="2" s="1"/>
  <c r="C19" i="2"/>
  <c r="C20" i="2"/>
  <c r="B20" i="2" s="1"/>
  <c r="C21" i="2"/>
  <c r="C22" i="2"/>
  <c r="C23" i="2"/>
  <c r="C24" i="2"/>
  <c r="C25" i="2"/>
  <c r="C26" i="2"/>
  <c r="B26" i="2" s="1"/>
  <c r="C27" i="2"/>
  <c r="C28" i="2"/>
  <c r="B28" i="2" s="1"/>
  <c r="C29" i="2"/>
  <c r="C30" i="2"/>
  <c r="C31" i="2"/>
  <c r="C32" i="2"/>
  <c r="C33" i="2"/>
  <c r="C34" i="2"/>
  <c r="B34" i="2" s="1"/>
  <c r="C35" i="2"/>
  <c r="C36" i="2"/>
  <c r="B36" i="2" s="1"/>
  <c r="C37" i="2"/>
  <c r="D13" i="1"/>
  <c r="C13" i="1"/>
  <c r="B13" i="1"/>
  <c r="D9" i="1"/>
  <c r="C9" i="1"/>
  <c r="B9" i="1"/>
  <c r="D5" i="1"/>
  <c r="C5" i="1"/>
  <c r="B24" i="2" l="1"/>
  <c r="B8" i="2"/>
  <c r="B22" i="2"/>
  <c r="B30" i="2"/>
  <c r="B32" i="2"/>
  <c r="B37" i="2"/>
  <c r="B33" i="2"/>
  <c r="B29" i="2"/>
  <c r="B25" i="2"/>
  <c r="B21" i="2"/>
  <c r="B17" i="2"/>
  <c r="B13" i="2"/>
  <c r="B9" i="2"/>
  <c r="B35" i="2"/>
  <c r="B31" i="2"/>
  <c r="B27" i="2"/>
  <c r="B23" i="2"/>
  <c r="B19" i="2"/>
  <c r="B15" i="2"/>
  <c r="B11" i="2"/>
  <c r="B7" i="2"/>
  <c r="D20" i="1" l="1"/>
  <c r="B24" i="1" l="1"/>
  <c r="K84" i="2" l="1"/>
  <c r="J84" i="2"/>
  <c r="I84" i="2"/>
  <c r="G84" i="2"/>
  <c r="E84" i="2"/>
  <c r="D84" i="2"/>
  <c r="B84" i="2"/>
  <c r="C26" i="1"/>
  <c r="B26" i="1"/>
  <c r="C25" i="1"/>
  <c r="B25" i="1"/>
  <c r="C24" i="1"/>
  <c r="C21" i="1"/>
  <c r="B21" i="1"/>
  <c r="D21" i="1"/>
  <c r="C20" i="1"/>
  <c r="C22" i="1" s="1"/>
  <c r="B20" i="1"/>
  <c r="B22" i="1" s="1"/>
  <c r="D22" i="1"/>
  <c r="H84" i="2" l="1"/>
  <c r="F84" i="2"/>
  <c r="C84" i="2"/>
  <c r="K71" i="2"/>
  <c r="J71" i="2"/>
  <c r="I71" i="2"/>
  <c r="H71" i="2" s="1"/>
  <c r="G71" i="2"/>
  <c r="E71" i="2"/>
  <c r="D71" i="2"/>
  <c r="B71" i="2"/>
  <c r="J60" i="2"/>
  <c r="I60" i="2"/>
  <c r="H60" i="2" s="1"/>
  <c r="G60" i="2"/>
  <c r="E60" i="2"/>
  <c r="D60" i="2"/>
  <c r="J53" i="2"/>
  <c r="I53" i="2"/>
  <c r="G53" i="2"/>
  <c r="E53" i="2"/>
  <c r="D53" i="2"/>
  <c r="B53" i="2"/>
  <c r="I48" i="2"/>
  <c r="H48" i="2" s="1"/>
  <c r="G48" i="2"/>
  <c r="E48" i="2"/>
  <c r="D48" i="2"/>
  <c r="B48" i="2"/>
  <c r="H53" i="2" l="1"/>
  <c r="C71" i="2"/>
  <c r="F71" i="2"/>
  <c r="F60" i="2"/>
  <c r="C60" i="2"/>
  <c r="C53" i="2"/>
  <c r="F53" i="2"/>
  <c r="C48" i="2"/>
  <c r="F48" i="2"/>
  <c r="G45" i="2"/>
  <c r="E45" i="2"/>
  <c r="J45" i="2"/>
  <c r="I45" i="2"/>
  <c r="D45" i="2"/>
  <c r="K45" i="2"/>
  <c r="B5" i="3"/>
  <c r="B60" i="2"/>
  <c r="B45" i="2" s="1"/>
  <c r="H45" i="2" l="1"/>
  <c r="F45" i="2"/>
  <c r="C45" i="2"/>
  <c r="D6" i="2"/>
  <c r="E6" i="2"/>
  <c r="C6" i="2" l="1"/>
  <c r="B32" i="8"/>
  <c r="B28" i="8"/>
  <c r="B30" i="8"/>
  <c r="B27" i="8"/>
  <c r="B22" i="8"/>
  <c r="B19" i="8"/>
  <c r="B7" i="8"/>
  <c r="B36" i="8"/>
  <c r="B35" i="8"/>
  <c r="B34" i="8"/>
  <c r="B33" i="8"/>
  <c r="B31" i="8"/>
  <c r="B29" i="8"/>
  <c r="B26" i="8"/>
  <c r="B25" i="8"/>
  <c r="B24" i="8"/>
  <c r="B23" i="8"/>
  <c r="B21" i="8"/>
  <c r="B20" i="8"/>
  <c r="B18" i="8"/>
  <c r="B17" i="8"/>
  <c r="B16" i="8"/>
  <c r="B15" i="8"/>
  <c r="B14" i="8"/>
  <c r="B13" i="8"/>
  <c r="B12" i="8"/>
  <c r="B11" i="8"/>
  <c r="B10" i="8"/>
  <c r="B9" i="8"/>
  <c r="B8" i="8"/>
  <c r="B6" i="8"/>
  <c r="K14" i="2"/>
  <c r="K6" i="2" s="1"/>
  <c r="J6" i="2"/>
  <c r="I14" i="2"/>
  <c r="G14" i="2"/>
  <c r="G6" i="2" l="1"/>
  <c r="F6" i="2" s="1"/>
  <c r="F14" i="2"/>
  <c r="I6" i="2"/>
  <c r="H14" i="2"/>
  <c r="B14" i="2" s="1"/>
  <c r="H6" i="2"/>
  <c r="C27" i="1" s="1"/>
  <c r="B6" i="2"/>
  <c r="B27" i="1" l="1"/>
</calcChain>
</file>

<file path=xl/comments1.xml><?xml version="1.0" encoding="utf-8"?>
<comments xmlns="http://schemas.openxmlformats.org/spreadsheetml/2006/main">
  <authors>
    <author>Khaleeq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Khaleeq:</t>
        </r>
        <r>
          <rPr>
            <sz val="9"/>
            <color indexed="81"/>
            <rFont val="Tahoma"/>
            <family val="2"/>
          </rPr>
          <t xml:space="preserve">
Net Area Sown + Area Sown More than Once = Total Cropped Area i.e. Net Area Sown takes part in calculation of both 
Total Cultivated Area and Total Cropped Area.</t>
        </r>
      </text>
    </comment>
  </commentList>
</comments>
</file>

<file path=xl/sharedStrings.xml><?xml version="1.0" encoding="utf-8"?>
<sst xmlns="http://schemas.openxmlformats.org/spreadsheetml/2006/main" count="763" uniqueCount="200">
  <si>
    <t>Reported Area</t>
  </si>
  <si>
    <t>Total Cultivated Area</t>
  </si>
  <si>
    <t>Net Area Sown</t>
  </si>
  <si>
    <t>Current Fallow</t>
  </si>
  <si>
    <t>Area sown more than once</t>
  </si>
  <si>
    <t>Forest Area</t>
  </si>
  <si>
    <t>Cropped Area</t>
  </si>
  <si>
    <t>Un-Cultivated Area</t>
  </si>
  <si>
    <t>(% age)</t>
  </si>
  <si>
    <t>District</t>
  </si>
  <si>
    <t>Cultivated Area</t>
  </si>
  <si>
    <t>Net Sown</t>
  </si>
  <si>
    <t>Cultrable Waste</t>
  </si>
  <si>
    <t>Forest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</si>
  <si>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</si>
  <si>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</si>
  <si>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</si>
  <si>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</si>
  <si>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</si>
  <si>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</si>
  <si>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</si>
  <si>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</si>
  <si>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</si>
  <si>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</si>
  <si>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</si>
  <si>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</si>
  <si>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</si>
  <si>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D.I.Khan</t>
  </si>
  <si>
    <t>Tank</t>
  </si>
  <si>
    <t>Bannu</t>
  </si>
  <si>
    <t>Lakki</t>
  </si>
  <si>
    <t>Chitral</t>
  </si>
  <si>
    <t>Swat</t>
  </si>
  <si>
    <t>Shangla</t>
  </si>
  <si>
    <t>Buner</t>
  </si>
  <si>
    <t>Malakand</t>
  </si>
  <si>
    <t>(In hectares)</t>
  </si>
  <si>
    <t>Year</t>
  </si>
  <si>
    <t>(Percent)</t>
  </si>
  <si>
    <t>All Farms</t>
  </si>
  <si>
    <t>Under 1.0 Acres</t>
  </si>
  <si>
    <t>Total Private Farms</t>
  </si>
  <si>
    <t>No.of Patwar Circles</t>
  </si>
  <si>
    <t>Peshawar Distt:</t>
  </si>
  <si>
    <t>Nowshera Distt:</t>
  </si>
  <si>
    <t>Charsadda Distt:</t>
  </si>
  <si>
    <t>Tangi</t>
  </si>
  <si>
    <t>Mardan Distt:</t>
  </si>
  <si>
    <t>Takht Bai</t>
  </si>
  <si>
    <t>Swabi Distt:</t>
  </si>
  <si>
    <t>Kohat Distt:</t>
  </si>
  <si>
    <t>Hangu Distt:</t>
  </si>
  <si>
    <t>Karak Distt:</t>
  </si>
  <si>
    <t>B.D Shah</t>
  </si>
  <si>
    <t>Takht-e-Nasrati</t>
  </si>
  <si>
    <t>Abbottabad Distt:</t>
  </si>
  <si>
    <t>Haripur Distt:</t>
  </si>
  <si>
    <t>Mansehra Distt:</t>
  </si>
  <si>
    <t>Oghi</t>
  </si>
  <si>
    <t>Battagram Distt:</t>
  </si>
  <si>
    <t>Kohistan Distt:</t>
  </si>
  <si>
    <t>Tank Distt:</t>
  </si>
  <si>
    <t>Bannu Distt:</t>
  </si>
  <si>
    <t>Lakki Distt:</t>
  </si>
  <si>
    <t>D.I.Khan Distt:</t>
  </si>
  <si>
    <t>Paharpur</t>
  </si>
  <si>
    <t>Kulachi</t>
  </si>
  <si>
    <t>Chitral Distt:</t>
  </si>
  <si>
    <t>Swat Distt:</t>
  </si>
  <si>
    <t>Shangla Distt:</t>
  </si>
  <si>
    <t>Alpuri</t>
  </si>
  <si>
    <t>Puran</t>
  </si>
  <si>
    <t>Buner Distt:</t>
  </si>
  <si>
    <t>Malakand Distt:</t>
  </si>
  <si>
    <t>Totalai</t>
  </si>
  <si>
    <t>No.of Kanungo Circles</t>
  </si>
  <si>
    <t>(Continued)</t>
  </si>
  <si>
    <t>1.0 to Under 2.5 Acres</t>
  </si>
  <si>
    <t>2.5 to Under 5.0 Acres</t>
  </si>
  <si>
    <t>5.0 to Under 7.5 Acres</t>
  </si>
  <si>
    <t>7.5 to Under 12.5 Acres</t>
  </si>
  <si>
    <t>12.5 to Under  25.0 Acres</t>
  </si>
  <si>
    <t>25.0 to Under 50.0 Acres</t>
  </si>
  <si>
    <t>50.0 to Under 100.0 Acres</t>
  </si>
  <si>
    <t>100.0 to Under 150.0 Acres</t>
  </si>
  <si>
    <t>No.of Qanungo Circles</t>
  </si>
  <si>
    <t>Not available for culti-vation</t>
  </si>
  <si>
    <t>(Hectare)</t>
  </si>
  <si>
    <t>LAND UTILIZATION STATISTICS IN KHYBER PAKHTUNKHWA</t>
  </si>
  <si>
    <t>PERCENTAGE PROPORTION AND VARIATION OF LAND UTILIZATION IN KHYBER PAKHTUNKHWA</t>
  </si>
  <si>
    <t>Khyber
Pakhtunkhwa</t>
  </si>
  <si>
    <t>Table No. 41</t>
  </si>
  <si>
    <t>Dir Lower</t>
  </si>
  <si>
    <t>Dir Upper</t>
  </si>
  <si>
    <t>Tor Ghar</t>
  </si>
  <si>
    <t>% Variation Over the Preceding Year</t>
  </si>
  <si>
    <t>Table No. 42</t>
  </si>
  <si>
    <t>Table No. 43</t>
  </si>
  <si>
    <t>Districts</t>
  </si>
  <si>
    <t>Land use intensity</t>
  </si>
  <si>
    <t>Cropping Intensity</t>
  </si>
  <si>
    <t>Nowehera</t>
  </si>
  <si>
    <t>Culturable Waste</t>
  </si>
  <si>
    <t xml:space="preserve">Haripur </t>
  </si>
  <si>
    <t xml:space="preserve">Karak  </t>
  </si>
  <si>
    <t xml:space="preserve">Mardan </t>
  </si>
  <si>
    <r>
      <t xml:space="preserve">Source:     </t>
    </r>
    <r>
      <rPr>
        <sz val="9"/>
        <rFont val="Arial"/>
        <family val="2"/>
      </rPr>
      <t>Compiled by Bureau of Statistics, Khyber Pakhtunkhwa, Peshawar</t>
    </r>
  </si>
  <si>
    <r>
      <t xml:space="preserve">Source:     </t>
    </r>
    <r>
      <rPr>
        <sz val="9"/>
        <rFont val="Arial"/>
        <family val="2"/>
      </rPr>
      <t>Agricultural Census 2010 (Khyber Pakhtunkhwa) by Agriculture Census Organization Govt. of Pakistan</t>
    </r>
  </si>
  <si>
    <t>Table No. 44</t>
  </si>
  <si>
    <t>Table No. 45</t>
  </si>
  <si>
    <t>Table No. 46</t>
  </si>
  <si>
    <t>Table No. 47</t>
  </si>
  <si>
    <t>2017-18</t>
  </si>
  <si>
    <t xml:space="preserve">Karak </t>
  </si>
  <si>
    <t xml:space="preserve">Khyber
</t>
  </si>
  <si>
    <t>Kurram</t>
  </si>
  <si>
    <t>Mohmand</t>
  </si>
  <si>
    <t>Orakzai</t>
  </si>
  <si>
    <t>N.Waziristan</t>
  </si>
  <si>
    <t>S.Waziristan</t>
  </si>
  <si>
    <t>Bajaur</t>
  </si>
  <si>
    <t>2018-19</t>
  </si>
  <si>
    <t>Description</t>
  </si>
  <si>
    <t>Total Un-Cultivated Area</t>
  </si>
  <si>
    <t>Not Available for Cultivation</t>
  </si>
  <si>
    <t>Area Sown More than Once</t>
  </si>
  <si>
    <t>Ratio compared with Total Reported Area</t>
  </si>
  <si>
    <r>
      <t>Source:</t>
    </r>
    <r>
      <rPr>
        <sz val="9"/>
        <rFont val="Arial"/>
        <family val="2"/>
      </rPr>
      <t xml:space="preserve">    Compiled by Bureau of Statistics, Khyber Pakhtunkhwa, Peshawar</t>
    </r>
  </si>
  <si>
    <t>Land Use Intensity</t>
  </si>
  <si>
    <t>Reported 
Area</t>
  </si>
  <si>
    <t>Reported
 Area</t>
  </si>
  <si>
    <r>
      <t>Source:</t>
    </r>
    <r>
      <rPr>
        <sz val="9"/>
        <rFont val="Arial"/>
        <family val="2"/>
      </rPr>
      <t xml:space="preserve"> Directorate of Crop Reporting Services, Khyber Pakhtunkhwa, Peshawar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</si>
  <si>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Directorate of Crop Reporting Services, Khyber Pakhtunkhwa, Peshawar</t>
    </r>
  </si>
  <si>
    <r>
      <t>Source:</t>
    </r>
    <r>
      <rPr>
        <sz val="9"/>
        <rFont val="Arial"/>
        <family val="2"/>
      </rPr>
      <t xml:space="preserve">     Compiled by Bureau of Statistics, Khyber Pakhtunkhwa, Peshawar</t>
    </r>
  </si>
  <si>
    <t>2019-20</t>
  </si>
  <si>
    <t>Tor Ghar Distt:</t>
  </si>
  <si>
    <t>-</t>
  </si>
  <si>
    <t>Total (4+5)</t>
  </si>
  <si>
    <t>Total (4+7)</t>
  </si>
  <si>
    <t>Total (9+10+11)</t>
  </si>
  <si>
    <t>Shabqadar</t>
  </si>
  <si>
    <t>Topi</t>
  </si>
  <si>
    <r>
      <t>Lahore (</t>
    </r>
    <r>
      <rPr>
        <i/>
        <sz val="10"/>
        <rFont val="Arial"/>
        <family val="2"/>
      </rPr>
      <t>Chota</t>
    </r>
    <r>
      <rPr>
        <sz val="10"/>
        <rFont val="Arial"/>
        <family val="2"/>
      </rPr>
      <t>)</t>
    </r>
  </si>
  <si>
    <t>Thall</t>
  </si>
  <si>
    <t>Paroa</t>
  </si>
  <si>
    <t>Daraban</t>
  </si>
  <si>
    <t>Lakki Marwat</t>
  </si>
  <si>
    <t>Naurang</t>
  </si>
  <si>
    <t xml:space="preserve">Dassu </t>
  </si>
  <si>
    <t>Palas</t>
  </si>
  <si>
    <t>Mastuj</t>
  </si>
  <si>
    <t>Dir</t>
  </si>
  <si>
    <t>Wari</t>
  </si>
  <si>
    <t>Tor Ghar / FR-Mansehra</t>
  </si>
  <si>
    <t>Total</t>
  </si>
  <si>
    <t>Rural</t>
  </si>
  <si>
    <t>Urban</t>
  </si>
  <si>
    <t>Partly Urban</t>
  </si>
  <si>
    <t>Un-Populated</t>
  </si>
  <si>
    <t>Number of Mouzas</t>
  </si>
  <si>
    <t>Khyber Distt:</t>
  </si>
  <si>
    <t>Mohmand Distt:</t>
  </si>
  <si>
    <t xml:space="preserve">Ghazi </t>
  </si>
  <si>
    <t xml:space="preserve">Balakot </t>
  </si>
  <si>
    <t xml:space="preserve">Malakand </t>
  </si>
  <si>
    <t>Timergarah</t>
  </si>
  <si>
    <t xml:space="preserve">Matta </t>
  </si>
  <si>
    <t>Pattan</t>
  </si>
  <si>
    <t>Buner (Daggar)</t>
  </si>
  <si>
    <t>Administrative Unit
District / Tehsil</t>
  </si>
  <si>
    <t>S.No</t>
  </si>
  <si>
    <t>i.</t>
  </si>
  <si>
    <t>Allai</t>
  </si>
  <si>
    <t>ii.</t>
  </si>
  <si>
    <t>iii.</t>
  </si>
  <si>
    <t>iv.</t>
  </si>
  <si>
    <t>v.</t>
  </si>
  <si>
    <t>ii</t>
  </si>
  <si>
    <t>Reported
 Area 
(3+8)</t>
  </si>
  <si>
    <t>Total 
(4+5)</t>
  </si>
  <si>
    <t>Total 
(4+7)</t>
  </si>
  <si>
    <t>DISTRICT WISE LAND UTILIZATION STATISTICS IN 
KHYBER PAKHTUNKHWA</t>
  </si>
  <si>
    <r>
      <rPr>
        <b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   Mouza Statistics of Pakistan 2008</t>
    </r>
  </si>
  <si>
    <t>Khyber Pakhtunkhwa</t>
  </si>
  <si>
    <t>Bajaur Distt:</t>
  </si>
  <si>
    <t>Dir Lower Distt:</t>
  </si>
  <si>
    <t>Jandool / Samarbagh</t>
  </si>
  <si>
    <t>Dir Upper Distt:</t>
  </si>
  <si>
    <t>Kurram Distt:</t>
  </si>
  <si>
    <t>N.Waziristan Distt:</t>
  </si>
  <si>
    <t>Orakzai Distt:</t>
  </si>
  <si>
    <t>S.Waziristan Distt:</t>
  </si>
  <si>
    <t>DISTRICT/TEHSIL WISE NUMBER OF QANUNGO CIRCLES, PATWAR CIRCLES, MOUZAS AND TOTAL AREA IN 
KHYBER PAKHTUNKHWA, 2008</t>
  </si>
  <si>
    <t>150.0 &amp; above</t>
  </si>
  <si>
    <t>Govt</t>
  </si>
  <si>
    <t>Total Cropped Area</t>
  </si>
  <si>
    <t>CROPPING INTENSITY AND LAND USE INTENSITY 
IN KHYBER PAKHTUNKHWA</t>
  </si>
  <si>
    <t>DISTRICT WISE LAND UTILIZATION STATISTICS 
IN KHYBER PAKHTUNKHWA</t>
  </si>
  <si>
    <t>DISTRICT WISE LAND USE AND CROPPING INTENSITY 
IN KHYBER PAKHTUNKHWA</t>
  </si>
  <si>
    <t>DISTRICT WISE NUMBER OF GOVERNMENT &amp; PRIVATE FARMS BY SIZE IN KHYBER PAKHTUNKHWA (AS PER AGRICULTURE CENSUS 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</si>
</sst>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/>
    <xf numFmtId="2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/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0" xfId="2"/>
    <xf numFmtId="0" fontId="1" fillId="0" borderId="0" xfId="2" applyFont="1"/>
    <xf numFmtId="0" fontId="4" fillId="0" borderId="0" xfId="2" applyFont="1" applyBorder="1" applyAlignment="1">
      <alignment horizontal="right"/>
    </xf>
    <xf numFmtId="0" fontId="2" fillId="0" borderId="0" xfId="2" applyBorder="1"/>
    <xf numFmtId="0" fontId="1" fillId="0" borderId="0" xfId="2" applyFont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/>
    <xf numFmtId="3" fontId="2" fillId="0" borderId="1" xfId="2" applyNumberFormat="1" applyFont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Fill="1" applyBorder="1" applyAlignment="1">
      <alignment horizontal="right" vertical="center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center" vertical="center"/>
    </xf>
    <xf numFmtId="0" fontId="7" fillId="0" borderId="0" xfId="2" applyFont="1"/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2" fontId="2" fillId="0" borderId="0" xfId="0" applyNumberFormat="1" applyFont="1"/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3" fontId="5" fillId="0" borderId="1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3" fontId="3" fillId="0" borderId="1" xfId="3" applyNumberFormat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2" fillId="0" borderId="1" xfId="2" applyBorder="1" applyAlignment="1">
      <alignment horizontal="left" vertical="center" indent="1"/>
    </xf>
    <xf numFmtId="3" fontId="2" fillId="0" borderId="1" xfId="3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horizontal="right" vertical="center"/>
    </xf>
    <xf numFmtId="0" fontId="2" fillId="0" borderId="1" xfId="2" applyBorder="1"/>
    <xf numFmtId="3" fontId="3" fillId="0" borderId="1" xfId="3" applyNumberFormat="1" applyFont="1" applyFill="1" applyBorder="1" applyAlignment="1">
      <alignment horizontal="right" vertical="center"/>
    </xf>
    <xf numFmtId="0" fontId="2" fillId="0" borderId="1" xfId="2" applyBorder="1" applyAlignment="1">
      <alignment horizontal="right"/>
    </xf>
    <xf numFmtId="3" fontId="3" fillId="0" borderId="1" xfId="2" applyNumberFormat="1" applyFont="1" applyBorder="1" applyAlignment="1">
      <alignment horizontal="right" vertical="center"/>
    </xf>
    <xf numFmtId="3" fontId="2" fillId="0" borderId="1" xfId="2" applyNumberFormat="1" applyBorder="1" applyAlignment="1">
      <alignment horizontal="right" vertical="center"/>
    </xf>
    <xf numFmtId="3" fontId="2" fillId="0" borderId="1" xfId="2" applyNumberFormat="1" applyBorder="1" applyAlignment="1">
      <alignment horizontal="right"/>
    </xf>
    <xf numFmtId="0" fontId="2" fillId="0" borderId="0" xfId="2" applyAlignment="1">
      <alignment horizontal="right" vertical="center"/>
    </xf>
    <xf numFmtId="0" fontId="2" fillId="0" borderId="1" xfId="2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3" fontId="2" fillId="0" borderId="1" xfId="2" applyNumberForma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1" fillId="0" borderId="1" xfId="2" applyFont="1" applyBorder="1"/>
    <xf numFmtId="0" fontId="1" fillId="0" borderId="1" xfId="2" applyFont="1" applyBorder="1" applyAlignment="1">
      <alignment horizontal="right"/>
    </xf>
    <xf numFmtId="0" fontId="3" fillId="0" borderId="1" xfId="2" applyFont="1" applyBorder="1" applyAlignment="1">
      <alignment horizontal="left"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 indent="1"/>
    </xf>
    <xf numFmtId="3" fontId="2" fillId="0" borderId="0" xfId="2" applyNumberFormat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2" fillId="0" borderId="0" xfId="2" applyNumberFormat="1" applyAlignment="1">
      <alignment horizontal="right" vertical="center"/>
    </xf>
    <xf numFmtId="0" fontId="1" fillId="0" borderId="1" xfId="2" applyFont="1" applyBorder="1" applyAlignment="1">
      <alignment horizontal="left" vertical="center" indent="1"/>
    </xf>
    <xf numFmtId="0" fontId="1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1" fillId="0" borderId="0" xfId="2" applyFont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E29"/>
  <sheetViews>
    <sheetView view="pageBreakPreview" topLeftCell="A16" zoomScaleNormal="180" zoomScaleSheetLayoutView="100" workbookViewId="0">
      <selection activeCell="A16" sqref="A16:D16"/>
    </sheetView>
  </sheetViews>
  <sheetFormatPr defaultRowHeight="12.75" x14ac:dyDescent="0.2"/>
  <cols>
    <col min="1" max="1" width="34.85546875" customWidth="1"/>
    <col min="2" max="3" width="17.7109375" customWidth="1"/>
    <col min="4" max="4" width="16.7109375" customWidth="1"/>
  </cols>
  <sheetData>
    <row r="1" spans="1:4" s="24" customFormat="1" ht="60" customHeight="1" x14ac:dyDescent="0.25">
      <c r="A1" s="123" t="s">
        <v>88</v>
      </c>
      <c r="B1" s="123"/>
      <c r="C1" s="123"/>
      <c r="D1" s="123"/>
    </row>
    <row r="2" spans="1:4" s="13" customFormat="1" ht="12" x14ac:dyDescent="0.2">
      <c r="A2" s="13" t="s">
        <v>91</v>
      </c>
      <c r="D2" s="9" t="s">
        <v>87</v>
      </c>
    </row>
    <row r="3" spans="1:4" s="21" customFormat="1" ht="21.95" customHeight="1" x14ac:dyDescent="0.2">
      <c r="A3" s="37" t="s">
        <v>122</v>
      </c>
      <c r="B3" s="42" t="s">
        <v>112</v>
      </c>
      <c r="C3" s="79" t="s">
        <v>121</v>
      </c>
      <c r="D3" s="42" t="s">
        <v>134</v>
      </c>
    </row>
    <row r="4" spans="1:4" s="21" customFormat="1" ht="21.95" customHeight="1" x14ac:dyDescent="0.2">
      <c r="A4" s="1" t="s">
        <v>0</v>
      </c>
      <c r="B4" s="80">
        <v>8355157</v>
      </c>
      <c r="C4" s="80">
        <v>8355157</v>
      </c>
      <c r="D4" s="80">
        <v>8355157</v>
      </c>
    </row>
    <row r="5" spans="1:4" s="21" customFormat="1" ht="21.95" customHeight="1" x14ac:dyDescent="0.2">
      <c r="A5" s="5" t="s">
        <v>123</v>
      </c>
      <c r="B5" s="121">
        <f t="shared" ref="B5:D5" si="0">B6+B7+B8</f>
        <v>6496635</v>
      </c>
      <c r="C5" s="121">
        <f t="shared" si="0"/>
        <v>6482462</v>
      </c>
      <c r="D5" s="121">
        <f t="shared" si="0"/>
        <v>6479620</v>
      </c>
    </row>
    <row r="6" spans="1:4" s="21" customFormat="1" ht="21.95" customHeight="1" x14ac:dyDescent="0.2">
      <c r="A6" s="38" t="s">
        <v>5</v>
      </c>
      <c r="B6" s="80">
        <v>1238934</v>
      </c>
      <c r="C6" s="80">
        <v>1239014</v>
      </c>
      <c r="D6" s="80">
        <v>1239080</v>
      </c>
    </row>
    <row r="7" spans="1:4" s="21" customFormat="1" ht="21.95" customHeight="1" x14ac:dyDescent="0.2">
      <c r="A7" s="38" t="s">
        <v>124</v>
      </c>
      <c r="B7" s="80">
        <v>3920380</v>
      </c>
      <c r="C7" s="80">
        <v>3924986</v>
      </c>
      <c r="D7" s="80">
        <v>3925107</v>
      </c>
    </row>
    <row r="8" spans="1:4" s="21" customFormat="1" ht="21.95" customHeight="1" x14ac:dyDescent="0.2">
      <c r="A8" s="38" t="s">
        <v>102</v>
      </c>
      <c r="B8" s="80">
        <v>1337321</v>
      </c>
      <c r="C8" s="80">
        <v>1318462</v>
      </c>
      <c r="D8" s="80">
        <v>1315433</v>
      </c>
    </row>
    <row r="9" spans="1:4" s="21" customFormat="1" ht="21.95" customHeight="1" x14ac:dyDescent="0.2">
      <c r="A9" s="5" t="s">
        <v>1</v>
      </c>
      <c r="B9" s="121">
        <f>B10+B11</f>
        <v>1858522</v>
      </c>
      <c r="C9" s="121">
        <f t="shared" ref="C9:D9" si="1">C10+C11</f>
        <v>1872695</v>
      </c>
      <c r="D9" s="121">
        <f t="shared" si="1"/>
        <v>1875537</v>
      </c>
    </row>
    <row r="10" spans="1:4" s="21" customFormat="1" ht="21.95" customHeight="1" x14ac:dyDescent="0.2">
      <c r="A10" s="38" t="s">
        <v>3</v>
      </c>
      <c r="B10" s="80">
        <v>572118</v>
      </c>
      <c r="C10" s="80">
        <v>608270</v>
      </c>
      <c r="D10" s="80">
        <v>594602</v>
      </c>
    </row>
    <row r="11" spans="1:4" s="21" customFormat="1" ht="21.95" customHeight="1" x14ac:dyDescent="0.2">
      <c r="A11" s="38" t="s">
        <v>2</v>
      </c>
      <c r="B11" s="80">
        <v>1286404</v>
      </c>
      <c r="C11" s="80">
        <v>1264425</v>
      </c>
      <c r="D11" s="80">
        <v>1280935</v>
      </c>
    </row>
    <row r="12" spans="1:4" s="21" customFormat="1" ht="21.95" customHeight="1" x14ac:dyDescent="0.2">
      <c r="A12" s="1" t="s">
        <v>125</v>
      </c>
      <c r="B12" s="80">
        <v>596751</v>
      </c>
      <c r="C12" s="80">
        <v>598107</v>
      </c>
      <c r="D12" s="80">
        <v>550049</v>
      </c>
    </row>
    <row r="13" spans="1:4" s="21" customFormat="1" ht="21.95" customHeight="1" x14ac:dyDescent="0.2">
      <c r="A13" s="5" t="s">
        <v>195</v>
      </c>
      <c r="B13" s="121">
        <f>B12+B11</f>
        <v>1883155</v>
      </c>
      <c r="C13" s="121">
        <f t="shared" ref="C13:D13" si="2">C12+C11</f>
        <v>1862532</v>
      </c>
      <c r="D13" s="121">
        <f t="shared" si="2"/>
        <v>1830984</v>
      </c>
    </row>
    <row r="15" spans="1:4" s="13" customFormat="1" ht="12.75" customHeight="1" x14ac:dyDescent="0.2">
      <c r="B15" s="9"/>
      <c r="C15" s="9"/>
      <c r="D15" s="12" t="s">
        <v>131</v>
      </c>
    </row>
    <row r="16" spans="1:4" ht="60" customHeight="1" x14ac:dyDescent="0.2">
      <c r="A16" s="124" t="s">
        <v>89</v>
      </c>
      <c r="B16" s="124"/>
      <c r="C16" s="124"/>
      <c r="D16" s="124"/>
    </row>
    <row r="17" spans="1:5" s="13" customFormat="1" ht="12" x14ac:dyDescent="0.2">
      <c r="A17" s="13" t="s">
        <v>96</v>
      </c>
      <c r="D17" s="9" t="s">
        <v>8</v>
      </c>
    </row>
    <row r="18" spans="1:5" ht="21.95" customHeight="1" x14ac:dyDescent="0.2">
      <c r="A18" s="37" t="s">
        <v>122</v>
      </c>
      <c r="B18" s="41" t="s">
        <v>112</v>
      </c>
      <c r="C18" s="41" t="s">
        <v>121</v>
      </c>
      <c r="D18" s="42" t="s">
        <v>134</v>
      </c>
    </row>
    <row r="19" spans="1:5" ht="21.95" customHeight="1" x14ac:dyDescent="0.2">
      <c r="A19" s="30" t="s">
        <v>126</v>
      </c>
      <c r="B19" s="33"/>
      <c r="C19" s="32"/>
      <c r="D19" s="31"/>
    </row>
    <row r="20" spans="1:5" ht="21.95" customHeight="1" x14ac:dyDescent="0.2">
      <c r="A20" s="1" t="s">
        <v>10</v>
      </c>
      <c r="B20" s="45">
        <f>B9/B4*100</f>
        <v>22.244010495553823</v>
      </c>
      <c r="C20" s="45">
        <f>C9/C4*100</f>
        <v>22.413642257111384</v>
      </c>
      <c r="D20" s="45">
        <f>D9/D4*100</f>
        <v>22.447657177477335</v>
      </c>
    </row>
    <row r="21" spans="1:5" ht="21.95" customHeight="1" x14ac:dyDescent="0.2">
      <c r="A21" s="2" t="s">
        <v>6</v>
      </c>
      <c r="B21" s="45">
        <f>B13/B4*100</f>
        <v>22.538834398922724</v>
      </c>
      <c r="C21" s="45">
        <f>C13/C4*100</f>
        <v>22.292004806133505</v>
      </c>
      <c r="D21" s="45">
        <f>D13/D4*100</f>
        <v>21.914417646490662</v>
      </c>
    </row>
    <row r="22" spans="1:5" ht="21.95" customHeight="1" x14ac:dyDescent="0.2">
      <c r="A22" s="2" t="s">
        <v>7</v>
      </c>
      <c r="B22" s="45">
        <f>100-B20</f>
        <v>77.755989504446177</v>
      </c>
      <c r="C22" s="45">
        <f>100-C20</f>
        <v>77.586357742888623</v>
      </c>
      <c r="D22" s="45">
        <f>100-D20</f>
        <v>77.552342822522661</v>
      </c>
      <c r="E22" s="22"/>
    </row>
    <row r="23" spans="1:5" ht="21.95" customHeight="1" x14ac:dyDescent="0.2">
      <c r="A23" s="30" t="s">
        <v>95</v>
      </c>
      <c r="B23" s="46"/>
      <c r="C23" s="46"/>
      <c r="D23" s="47"/>
    </row>
    <row r="24" spans="1:5" ht="21.95" customHeight="1" x14ac:dyDescent="0.2">
      <c r="A24" s="3" t="s">
        <v>0</v>
      </c>
      <c r="B24" s="48">
        <f>(B4-D4)/D4*100</f>
        <v>0</v>
      </c>
      <c r="C24" s="48">
        <f>(C4-B4)/B4*100</f>
        <v>0</v>
      </c>
      <c r="D24" s="45">
        <v>0</v>
      </c>
    </row>
    <row r="25" spans="1:5" ht="21.95" customHeight="1" x14ac:dyDescent="0.2">
      <c r="A25" s="2" t="s">
        <v>10</v>
      </c>
      <c r="B25" s="48">
        <f>(B9-D9)/D9*100</f>
        <v>-0.9072068426269384</v>
      </c>
      <c r="C25" s="48">
        <f>(C9-B9)/B9*100</f>
        <v>0.76259522351632103</v>
      </c>
      <c r="D25" s="45">
        <v>0.15</v>
      </c>
    </row>
    <row r="26" spans="1:5" ht="21.95" customHeight="1" x14ac:dyDescent="0.2">
      <c r="A26" s="2" t="s">
        <v>6</v>
      </c>
      <c r="B26" s="48">
        <f>(B13-D13)/D13*100</f>
        <v>2.8493422116195442</v>
      </c>
      <c r="C26" s="48">
        <f>(C13-B13)/B13*100</f>
        <v>-1.0951302468463828</v>
      </c>
      <c r="D26" s="45">
        <v>-1.69</v>
      </c>
    </row>
    <row r="27" spans="1:5" ht="21.95" customHeight="1" x14ac:dyDescent="0.2">
      <c r="A27" s="2" t="s">
        <v>7</v>
      </c>
      <c r="B27" s="48">
        <f>(B5-D5)/D5*100</f>
        <v>0.26259255944021409</v>
      </c>
      <c r="C27" s="48">
        <f>(C5-B5)/B5*100</f>
        <v>-0.21815909313052062</v>
      </c>
      <c r="D27" s="45">
        <v>-0.04</v>
      </c>
    </row>
    <row r="29" spans="1:5" s="13" customFormat="1" ht="12" x14ac:dyDescent="0.2">
      <c r="B29" s="9"/>
      <c r="C29" s="9"/>
      <c r="D29" s="11" t="s">
        <v>106</v>
      </c>
    </row>
  </sheetData>
  <mergeCells count="2">
    <mergeCell ref="A1:D1"/>
    <mergeCell ref="A16:D16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55" orientation="portrait" useFirstPageNumber="1" r:id="rId1"/>
  <headerFooter alignWithMargins="0">
    <oddHeader>&amp;C&amp;P</oddHeader>
  </headerFooter>
  <rowBreaks count="1" manualBreakCount="1">
    <brk id="1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20"/>
  <sheetViews>
    <sheetView view="pageBreakPreview" zoomScaleSheetLayoutView="100" workbookViewId="0">
      <selection activeCell="G2" sqref="G2"/>
    </sheetView>
  </sheetViews>
  <sheetFormatPr defaultColWidth="9.140625" defaultRowHeight="12.75" x14ac:dyDescent="0.2"/>
  <cols>
    <col min="1" max="1" width="11.28515625" style="4" customWidth="1"/>
    <col min="2" max="2" width="9.140625" style="4" customWidth="1"/>
    <col min="3" max="3" width="7.7109375" style="4" customWidth="1"/>
    <col min="4" max="4" width="7.85546875" style="4" bestFit="1" customWidth="1"/>
    <col min="5" max="5" width="7.5703125" style="4" bestFit="1" customWidth="1"/>
    <col min="6" max="6" width="7.7109375" style="4" customWidth="1"/>
    <col min="7" max="7" width="8.7109375" style="4" bestFit="1" customWidth="1"/>
    <col min="8" max="8" width="8.140625" style="4" customWidth="1"/>
    <col min="9" max="10" width="7.7109375" style="4" customWidth="1"/>
    <col min="11" max="11" width="9.28515625" style="4" customWidth="1"/>
    <col min="12" max="16384" width="9.140625" style="4"/>
  </cols>
  <sheetData>
    <row r="1" spans="1:11" s="25" customFormat="1" ht="60" customHeight="1" x14ac:dyDescent="0.25">
      <c r="A1" s="126" t="s">
        <v>197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26" customFormat="1" ht="12" x14ac:dyDescent="0.2">
      <c r="A2" s="26" t="s">
        <v>97</v>
      </c>
      <c r="F2" s="27" t="s">
        <v>112</v>
      </c>
      <c r="J2" s="127" t="s">
        <v>36</v>
      </c>
      <c r="K2" s="127"/>
    </row>
    <row r="3" spans="1:11" ht="20.100000000000001" customHeight="1" x14ac:dyDescent="0.2">
      <c r="A3" s="125" t="s">
        <v>9</v>
      </c>
      <c r="B3" s="125" t="s">
        <v>178</v>
      </c>
      <c r="C3" s="125" t="s">
        <v>10</v>
      </c>
      <c r="D3" s="125"/>
      <c r="E3" s="125"/>
      <c r="F3" s="125" t="s">
        <v>6</v>
      </c>
      <c r="G3" s="125"/>
      <c r="H3" s="125" t="s">
        <v>7</v>
      </c>
      <c r="I3" s="125"/>
      <c r="J3" s="125"/>
      <c r="K3" s="125"/>
    </row>
    <row r="4" spans="1:11" ht="48" customHeight="1" x14ac:dyDescent="0.2">
      <c r="A4" s="125"/>
      <c r="B4" s="125"/>
      <c r="C4" s="78" t="s">
        <v>179</v>
      </c>
      <c r="D4" s="78" t="s">
        <v>11</v>
      </c>
      <c r="E4" s="78" t="s">
        <v>3</v>
      </c>
      <c r="F4" s="78" t="s">
        <v>180</v>
      </c>
      <c r="G4" s="78" t="s">
        <v>4</v>
      </c>
      <c r="H4" s="78" t="s">
        <v>139</v>
      </c>
      <c r="I4" s="78" t="s">
        <v>12</v>
      </c>
      <c r="J4" s="78" t="s">
        <v>13</v>
      </c>
      <c r="K4" s="78" t="s">
        <v>86</v>
      </c>
    </row>
    <row r="5" spans="1:11" ht="17.100000000000001" customHeight="1" x14ac:dyDescent="0.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</row>
    <row r="6" spans="1:11" ht="25.5" x14ac:dyDescent="0.2">
      <c r="A6" s="83" t="s">
        <v>90</v>
      </c>
      <c r="B6" s="81">
        <f>SUM(C6,H6)</f>
        <v>8355157</v>
      </c>
      <c r="C6" s="82">
        <f>SUM(D6,E6)</f>
        <v>1858522</v>
      </c>
      <c r="D6" s="81">
        <f t="shared" ref="D6:K6" si="0">SUM(D7:D38)</f>
        <v>1286404</v>
      </c>
      <c r="E6" s="81">
        <f t="shared" si="0"/>
        <v>572118</v>
      </c>
      <c r="F6" s="81">
        <f>SUM(D6,G6)</f>
        <v>1883155</v>
      </c>
      <c r="G6" s="81">
        <f t="shared" si="0"/>
        <v>596751</v>
      </c>
      <c r="H6" s="81">
        <f>SUM(I6,J6,K6)</f>
        <v>6496635</v>
      </c>
      <c r="I6" s="81">
        <f t="shared" si="0"/>
        <v>1337321</v>
      </c>
      <c r="J6" s="81">
        <f t="shared" si="0"/>
        <v>1238934</v>
      </c>
      <c r="K6" s="81">
        <f t="shared" si="0"/>
        <v>3920380</v>
      </c>
    </row>
    <row r="7" spans="1:11" ht="17.100000000000001" customHeight="1" x14ac:dyDescent="0.2">
      <c r="A7" s="6" t="s">
        <v>22</v>
      </c>
      <c r="B7" s="39">
        <f t="shared" ref="B7:B37" si="1">SUM(C7,H7)</f>
        <v>178401</v>
      </c>
      <c r="C7" s="39">
        <f t="shared" ref="C7:C37" si="2">SUM(D7,E7)</f>
        <v>47214</v>
      </c>
      <c r="D7" s="39">
        <v>43626</v>
      </c>
      <c r="E7" s="39">
        <v>3588</v>
      </c>
      <c r="F7" s="39">
        <f t="shared" ref="F7:F37" si="3">SUM(D7,G7)</f>
        <v>58516</v>
      </c>
      <c r="G7" s="39">
        <v>14890</v>
      </c>
      <c r="H7" s="39">
        <f t="shared" ref="H7:H37" si="4">SUM(I7,J7,K7)</f>
        <v>131187</v>
      </c>
      <c r="I7" s="39">
        <v>20500</v>
      </c>
      <c r="J7" s="39">
        <v>54593</v>
      </c>
      <c r="K7" s="39">
        <v>56094</v>
      </c>
    </row>
    <row r="8" spans="1:11" ht="17.100000000000001" customHeight="1" x14ac:dyDescent="0.2">
      <c r="A8" s="6" t="s">
        <v>120</v>
      </c>
      <c r="B8" s="39">
        <f t="shared" si="1"/>
        <v>129035</v>
      </c>
      <c r="C8" s="39">
        <f t="shared" si="2"/>
        <v>77054</v>
      </c>
      <c r="D8" s="39">
        <v>56135</v>
      </c>
      <c r="E8" s="39">
        <v>20919</v>
      </c>
      <c r="F8" s="39">
        <f t="shared" si="3"/>
        <v>69863</v>
      </c>
      <c r="G8" s="39">
        <v>13728</v>
      </c>
      <c r="H8" s="39">
        <f t="shared" si="4"/>
        <v>51981</v>
      </c>
      <c r="I8" s="39">
        <v>10151</v>
      </c>
      <c r="J8" s="39">
        <v>29700</v>
      </c>
      <c r="K8" s="39">
        <v>12130</v>
      </c>
    </row>
    <row r="9" spans="1:11" ht="17.100000000000001" customHeight="1" x14ac:dyDescent="0.2">
      <c r="A9" s="6" t="s">
        <v>29</v>
      </c>
      <c r="B9" s="39">
        <f t="shared" si="1"/>
        <v>206523</v>
      </c>
      <c r="C9" s="39">
        <f t="shared" si="2"/>
        <v>97275</v>
      </c>
      <c r="D9" s="39">
        <v>32430</v>
      </c>
      <c r="E9" s="39">
        <v>64845</v>
      </c>
      <c r="F9" s="39">
        <f t="shared" si="3"/>
        <v>41760</v>
      </c>
      <c r="G9" s="39">
        <v>9330</v>
      </c>
      <c r="H9" s="39">
        <f t="shared" si="4"/>
        <v>109248</v>
      </c>
      <c r="I9" s="39">
        <v>8591</v>
      </c>
      <c r="J9" s="39">
        <v>562</v>
      </c>
      <c r="K9" s="39">
        <v>100095</v>
      </c>
    </row>
    <row r="10" spans="1:11" ht="17.100000000000001" customHeight="1" x14ac:dyDescent="0.2">
      <c r="A10" s="6" t="s">
        <v>25</v>
      </c>
      <c r="B10" s="39">
        <f t="shared" si="1"/>
        <v>92997</v>
      </c>
      <c r="C10" s="39">
        <f t="shared" si="2"/>
        <v>24173</v>
      </c>
      <c r="D10" s="39">
        <v>20437</v>
      </c>
      <c r="E10" s="39">
        <v>3736</v>
      </c>
      <c r="F10" s="39">
        <f t="shared" si="3"/>
        <v>27531</v>
      </c>
      <c r="G10" s="39">
        <v>7094</v>
      </c>
      <c r="H10" s="39">
        <f t="shared" si="4"/>
        <v>68824</v>
      </c>
      <c r="I10" s="39">
        <v>26748</v>
      </c>
      <c r="J10" s="39">
        <v>37983</v>
      </c>
      <c r="K10" s="39">
        <v>4093</v>
      </c>
    </row>
    <row r="11" spans="1:11" ht="17.100000000000001" customHeight="1" x14ac:dyDescent="0.2">
      <c r="A11" s="6" t="s">
        <v>34</v>
      </c>
      <c r="B11" s="39">
        <f t="shared" si="1"/>
        <v>172431</v>
      </c>
      <c r="C11" s="39">
        <f t="shared" si="2"/>
        <v>55395</v>
      </c>
      <c r="D11" s="39">
        <v>49979</v>
      </c>
      <c r="E11" s="39">
        <v>5416</v>
      </c>
      <c r="F11" s="39">
        <f t="shared" si="3"/>
        <v>103552</v>
      </c>
      <c r="G11" s="39">
        <v>53573</v>
      </c>
      <c r="H11" s="39">
        <f t="shared" si="4"/>
        <v>117036</v>
      </c>
      <c r="I11" s="39">
        <v>75440</v>
      </c>
      <c r="J11" s="39">
        <v>31705</v>
      </c>
      <c r="K11" s="39">
        <v>9891</v>
      </c>
    </row>
    <row r="12" spans="1:11" ht="17.100000000000001" customHeight="1" x14ac:dyDescent="0.2">
      <c r="A12" s="6" t="s">
        <v>16</v>
      </c>
      <c r="B12" s="39">
        <f t="shared" si="1"/>
        <v>98641</v>
      </c>
      <c r="C12" s="39">
        <f t="shared" si="2"/>
        <v>73319</v>
      </c>
      <c r="D12" s="39">
        <v>57579</v>
      </c>
      <c r="E12" s="39">
        <v>15740</v>
      </c>
      <c r="F12" s="39">
        <f t="shared" si="3"/>
        <v>96648</v>
      </c>
      <c r="G12" s="39">
        <v>39069</v>
      </c>
      <c r="H12" s="39">
        <f t="shared" si="4"/>
        <v>25322</v>
      </c>
      <c r="I12" s="39">
        <v>6174</v>
      </c>
      <c r="J12" s="39" t="s">
        <v>136</v>
      </c>
      <c r="K12" s="39">
        <v>19148</v>
      </c>
    </row>
    <row r="13" spans="1:11" ht="17.100000000000001" customHeight="1" x14ac:dyDescent="0.2">
      <c r="A13" s="6" t="s">
        <v>31</v>
      </c>
      <c r="B13" s="39">
        <f t="shared" si="1"/>
        <v>97619</v>
      </c>
      <c r="C13" s="39">
        <f t="shared" si="2"/>
        <v>21500</v>
      </c>
      <c r="D13" s="39">
        <v>20108</v>
      </c>
      <c r="E13" s="39">
        <v>1392</v>
      </c>
      <c r="F13" s="39">
        <f t="shared" si="3"/>
        <v>27253</v>
      </c>
      <c r="G13" s="39">
        <v>7145</v>
      </c>
      <c r="H13" s="39">
        <f t="shared" si="4"/>
        <v>76119</v>
      </c>
      <c r="I13" s="39">
        <v>3884</v>
      </c>
      <c r="J13" s="39">
        <v>41949</v>
      </c>
      <c r="K13" s="39">
        <v>30286</v>
      </c>
    </row>
    <row r="14" spans="1:11" ht="17.100000000000001" customHeight="1" x14ac:dyDescent="0.2">
      <c r="A14" s="6" t="s">
        <v>27</v>
      </c>
      <c r="B14" s="39">
        <f t="shared" si="1"/>
        <v>1053399</v>
      </c>
      <c r="C14" s="39">
        <f t="shared" si="2"/>
        <v>254601</v>
      </c>
      <c r="D14" s="39">
        <v>138716</v>
      </c>
      <c r="E14" s="39">
        <v>115885</v>
      </c>
      <c r="F14" s="39">
        <f t="shared" si="3"/>
        <v>156795</v>
      </c>
      <c r="G14" s="39">
        <f>15208+2871</f>
        <v>18079</v>
      </c>
      <c r="H14" s="39">
        <f t="shared" si="4"/>
        <v>798798</v>
      </c>
      <c r="I14" s="39">
        <f>335487+30060</f>
        <v>365547</v>
      </c>
      <c r="J14" s="39">
        <f>3909+84</f>
        <v>3993</v>
      </c>
      <c r="K14" s="39">
        <f>144378+284880</f>
        <v>429258</v>
      </c>
    </row>
    <row r="15" spans="1:11" ht="17.100000000000001" customHeight="1" x14ac:dyDescent="0.2">
      <c r="A15" s="6" t="s">
        <v>92</v>
      </c>
      <c r="B15" s="39">
        <f t="shared" si="1"/>
        <v>142638</v>
      </c>
      <c r="C15" s="39">
        <f t="shared" si="2"/>
        <v>41004</v>
      </c>
      <c r="D15" s="39">
        <v>35832</v>
      </c>
      <c r="E15" s="39">
        <v>5172</v>
      </c>
      <c r="F15" s="39">
        <f t="shared" si="3"/>
        <v>71531</v>
      </c>
      <c r="G15" s="39">
        <v>35699</v>
      </c>
      <c r="H15" s="39">
        <f t="shared" si="4"/>
        <v>101634</v>
      </c>
      <c r="I15" s="39">
        <v>15389</v>
      </c>
      <c r="J15" s="39">
        <v>77515</v>
      </c>
      <c r="K15" s="39">
        <v>8730</v>
      </c>
    </row>
    <row r="16" spans="1:11" ht="17.100000000000001" customHeight="1" x14ac:dyDescent="0.2">
      <c r="A16" s="6" t="s">
        <v>93</v>
      </c>
      <c r="B16" s="39">
        <f t="shared" si="1"/>
        <v>126500</v>
      </c>
      <c r="C16" s="39">
        <f t="shared" si="2"/>
        <v>31572</v>
      </c>
      <c r="D16" s="39">
        <v>28350</v>
      </c>
      <c r="E16" s="39">
        <v>3222</v>
      </c>
      <c r="F16" s="39">
        <f t="shared" si="3"/>
        <v>52724</v>
      </c>
      <c r="G16" s="39">
        <v>24374</v>
      </c>
      <c r="H16" s="39">
        <f t="shared" si="4"/>
        <v>94928</v>
      </c>
      <c r="I16" s="39">
        <v>6177</v>
      </c>
      <c r="J16" s="39">
        <v>81332</v>
      </c>
      <c r="K16" s="39">
        <v>7419</v>
      </c>
    </row>
    <row r="17" spans="1:11" ht="17.100000000000001" customHeight="1" x14ac:dyDescent="0.2">
      <c r="A17" s="6" t="s">
        <v>20</v>
      </c>
      <c r="B17" s="39">
        <f t="shared" si="1"/>
        <v>132265</v>
      </c>
      <c r="C17" s="39">
        <f t="shared" si="2"/>
        <v>27287</v>
      </c>
      <c r="D17" s="39">
        <v>21879</v>
      </c>
      <c r="E17" s="39">
        <v>5408</v>
      </c>
      <c r="F17" s="39">
        <f t="shared" si="3"/>
        <v>34490</v>
      </c>
      <c r="G17" s="39">
        <v>12611</v>
      </c>
      <c r="H17" s="39">
        <f t="shared" si="4"/>
        <v>104978</v>
      </c>
      <c r="I17" s="39">
        <v>12325</v>
      </c>
      <c r="J17" s="39">
        <v>9881</v>
      </c>
      <c r="K17" s="39">
        <v>82772</v>
      </c>
    </row>
    <row r="18" spans="1:11" ht="17.100000000000001" customHeight="1" x14ac:dyDescent="0.2">
      <c r="A18" s="6" t="s">
        <v>23</v>
      </c>
      <c r="B18" s="39">
        <f t="shared" si="1"/>
        <v>192134</v>
      </c>
      <c r="C18" s="39">
        <f t="shared" si="2"/>
        <v>68945</v>
      </c>
      <c r="D18" s="39">
        <v>63847</v>
      </c>
      <c r="E18" s="39">
        <v>5098</v>
      </c>
      <c r="F18" s="39">
        <f t="shared" si="3"/>
        <v>84325</v>
      </c>
      <c r="G18" s="39">
        <v>20478</v>
      </c>
      <c r="H18" s="39">
        <f t="shared" si="4"/>
        <v>123189</v>
      </c>
      <c r="I18" s="39">
        <v>38715</v>
      </c>
      <c r="J18" s="39">
        <v>15033</v>
      </c>
      <c r="K18" s="39">
        <v>69441</v>
      </c>
    </row>
    <row r="19" spans="1:11" ht="17.100000000000001" customHeight="1" x14ac:dyDescent="0.2">
      <c r="A19" s="6" t="s">
        <v>21</v>
      </c>
      <c r="B19" s="39">
        <f t="shared" si="1"/>
        <v>265202</v>
      </c>
      <c r="C19" s="39">
        <f t="shared" si="2"/>
        <v>75642</v>
      </c>
      <c r="D19" s="39">
        <v>29527</v>
      </c>
      <c r="E19" s="39">
        <v>46115</v>
      </c>
      <c r="F19" s="39">
        <f t="shared" si="3"/>
        <v>30856</v>
      </c>
      <c r="G19" s="39">
        <v>1329</v>
      </c>
      <c r="H19" s="39">
        <f t="shared" si="4"/>
        <v>189560</v>
      </c>
      <c r="I19" s="39">
        <v>16669</v>
      </c>
      <c r="J19" s="39">
        <v>5712</v>
      </c>
      <c r="K19" s="39">
        <v>167179</v>
      </c>
    </row>
    <row r="20" spans="1:11" ht="17.100000000000001" customHeight="1" x14ac:dyDescent="0.2">
      <c r="A20" s="6" t="s">
        <v>114</v>
      </c>
      <c r="B20" s="39">
        <f t="shared" si="1"/>
        <v>257676</v>
      </c>
      <c r="C20" s="39">
        <f t="shared" si="2"/>
        <v>24353</v>
      </c>
      <c r="D20" s="39">
        <v>17618</v>
      </c>
      <c r="E20" s="39">
        <v>6735</v>
      </c>
      <c r="F20" s="39">
        <f t="shared" si="3"/>
        <v>24348</v>
      </c>
      <c r="G20" s="39">
        <v>6730</v>
      </c>
      <c r="H20" s="39">
        <f t="shared" si="4"/>
        <v>233323</v>
      </c>
      <c r="I20" s="39">
        <v>48825</v>
      </c>
      <c r="J20" s="39">
        <v>2083</v>
      </c>
      <c r="K20" s="39">
        <v>182415</v>
      </c>
    </row>
    <row r="21" spans="1:11" ht="17.100000000000001" customHeight="1" x14ac:dyDescent="0.2">
      <c r="A21" s="6" t="s">
        <v>19</v>
      </c>
      <c r="B21" s="39">
        <f t="shared" si="1"/>
        <v>339731</v>
      </c>
      <c r="C21" s="39">
        <f t="shared" si="2"/>
        <v>77209</v>
      </c>
      <c r="D21" s="39">
        <v>34148</v>
      </c>
      <c r="E21" s="39">
        <v>43061</v>
      </c>
      <c r="F21" s="39">
        <f t="shared" si="3"/>
        <v>67210</v>
      </c>
      <c r="G21" s="39">
        <v>33062</v>
      </c>
      <c r="H21" s="39">
        <f t="shared" si="4"/>
        <v>262522</v>
      </c>
      <c r="I21" s="39">
        <v>33256</v>
      </c>
      <c r="J21" s="39">
        <f>4539+262</f>
        <v>4801</v>
      </c>
      <c r="K21" s="39">
        <v>224465</v>
      </c>
    </row>
    <row r="22" spans="1:11" ht="17.100000000000001" customHeight="1" x14ac:dyDescent="0.2">
      <c r="A22" s="6" t="s">
        <v>26</v>
      </c>
      <c r="B22" s="39">
        <f t="shared" si="1"/>
        <v>758116</v>
      </c>
      <c r="C22" s="39">
        <f t="shared" si="2"/>
        <v>36749</v>
      </c>
      <c r="D22" s="39">
        <v>27166</v>
      </c>
      <c r="E22" s="39">
        <v>9583</v>
      </c>
      <c r="F22" s="39">
        <f t="shared" si="3"/>
        <v>28659</v>
      </c>
      <c r="G22" s="39">
        <v>1493</v>
      </c>
      <c r="H22" s="39">
        <f t="shared" si="4"/>
        <v>721367</v>
      </c>
      <c r="I22" s="39">
        <v>117249</v>
      </c>
      <c r="J22" s="39">
        <v>216699</v>
      </c>
      <c r="K22" s="39">
        <v>387419</v>
      </c>
    </row>
    <row r="23" spans="1:11" ht="17.100000000000001" customHeight="1" x14ac:dyDescent="0.2">
      <c r="A23" s="6" t="s">
        <v>115</v>
      </c>
      <c r="B23" s="39">
        <f t="shared" si="1"/>
        <v>338061</v>
      </c>
      <c r="C23" s="39">
        <f t="shared" si="2"/>
        <v>26449</v>
      </c>
      <c r="D23" s="39">
        <v>16879</v>
      </c>
      <c r="E23" s="39">
        <v>9570</v>
      </c>
      <c r="F23" s="39">
        <f t="shared" si="3"/>
        <v>18854</v>
      </c>
      <c r="G23" s="39">
        <v>1975</v>
      </c>
      <c r="H23" s="39">
        <f t="shared" si="4"/>
        <v>311612</v>
      </c>
      <c r="I23" s="39">
        <v>3492</v>
      </c>
      <c r="J23" s="39">
        <v>13120</v>
      </c>
      <c r="K23" s="39">
        <v>295000</v>
      </c>
    </row>
    <row r="24" spans="1:11" ht="17.100000000000001" customHeight="1" x14ac:dyDescent="0.2">
      <c r="A24" s="6" t="s">
        <v>30</v>
      </c>
      <c r="B24" s="39">
        <f t="shared" si="1"/>
        <v>314973</v>
      </c>
      <c r="C24" s="39">
        <f t="shared" si="2"/>
        <v>116900</v>
      </c>
      <c r="D24" s="39">
        <v>36073</v>
      </c>
      <c r="E24" s="39">
        <v>80827</v>
      </c>
      <c r="F24" s="39">
        <f t="shared" si="3"/>
        <v>37508</v>
      </c>
      <c r="G24" s="39">
        <v>1435</v>
      </c>
      <c r="H24" s="39">
        <f t="shared" si="4"/>
        <v>198073</v>
      </c>
      <c r="I24" s="39">
        <v>85910</v>
      </c>
      <c r="J24" s="39" t="s">
        <v>136</v>
      </c>
      <c r="K24" s="39">
        <v>112163</v>
      </c>
    </row>
    <row r="25" spans="1:11" ht="17.100000000000001" customHeight="1" x14ac:dyDescent="0.2">
      <c r="A25" s="6" t="s">
        <v>35</v>
      </c>
      <c r="B25" s="39">
        <f t="shared" si="1"/>
        <v>52134</v>
      </c>
      <c r="C25" s="39">
        <f t="shared" si="2"/>
        <v>45681</v>
      </c>
      <c r="D25" s="39">
        <v>31817</v>
      </c>
      <c r="E25" s="39">
        <v>13864</v>
      </c>
      <c r="F25" s="39">
        <f t="shared" si="3"/>
        <v>50006</v>
      </c>
      <c r="G25" s="39">
        <v>18189</v>
      </c>
      <c r="H25" s="39">
        <f t="shared" si="4"/>
        <v>6453</v>
      </c>
      <c r="I25" s="39">
        <v>1019</v>
      </c>
      <c r="J25" s="39">
        <v>4409</v>
      </c>
      <c r="K25" s="39">
        <v>1025</v>
      </c>
    </row>
    <row r="26" spans="1:11" ht="17.100000000000001" customHeight="1" x14ac:dyDescent="0.2">
      <c r="A26" s="6" t="s">
        <v>24</v>
      </c>
      <c r="B26" s="39">
        <f t="shared" si="1"/>
        <v>439423</v>
      </c>
      <c r="C26" s="39">
        <f t="shared" si="2"/>
        <v>80747</v>
      </c>
      <c r="D26" s="39">
        <v>69015</v>
      </c>
      <c r="E26" s="39">
        <v>11732</v>
      </c>
      <c r="F26" s="39">
        <f t="shared" si="3"/>
        <v>102746</v>
      </c>
      <c r="G26" s="39">
        <v>33731</v>
      </c>
      <c r="H26" s="39">
        <f t="shared" si="4"/>
        <v>358676</v>
      </c>
      <c r="I26" s="39">
        <v>17702</v>
      </c>
      <c r="J26" s="39">
        <v>332252</v>
      </c>
      <c r="K26" s="39">
        <v>8722</v>
      </c>
    </row>
    <row r="27" spans="1:11" ht="17.100000000000001" customHeight="1" x14ac:dyDescent="0.2">
      <c r="A27" s="6" t="s">
        <v>17</v>
      </c>
      <c r="B27" s="39">
        <f t="shared" si="1"/>
        <v>162100</v>
      </c>
      <c r="C27" s="39">
        <f t="shared" si="2"/>
        <v>99841</v>
      </c>
      <c r="D27" s="39">
        <v>81673</v>
      </c>
      <c r="E27" s="39">
        <v>18168</v>
      </c>
      <c r="F27" s="39">
        <f t="shared" si="3"/>
        <v>115339</v>
      </c>
      <c r="G27" s="39">
        <v>33666</v>
      </c>
      <c r="H27" s="39">
        <f t="shared" si="4"/>
        <v>62259</v>
      </c>
      <c r="I27" s="39">
        <v>5182</v>
      </c>
      <c r="J27" s="39">
        <v>7920</v>
      </c>
      <c r="K27" s="39">
        <v>49157</v>
      </c>
    </row>
    <row r="28" spans="1:11" ht="17.100000000000001" customHeight="1" x14ac:dyDescent="0.2">
      <c r="A28" s="6" t="s">
        <v>116</v>
      </c>
      <c r="B28" s="39">
        <f t="shared" si="1"/>
        <v>229620</v>
      </c>
      <c r="C28" s="39">
        <f t="shared" si="2"/>
        <v>23514</v>
      </c>
      <c r="D28" s="39">
        <v>21714</v>
      </c>
      <c r="E28" s="39">
        <v>1800</v>
      </c>
      <c r="F28" s="39">
        <f t="shared" si="3"/>
        <v>27537</v>
      </c>
      <c r="G28" s="39">
        <v>5823</v>
      </c>
      <c r="H28" s="39">
        <f t="shared" si="4"/>
        <v>206106</v>
      </c>
      <c r="I28" s="39">
        <v>7370</v>
      </c>
      <c r="J28" s="39">
        <v>10006</v>
      </c>
      <c r="K28" s="39">
        <v>188730</v>
      </c>
    </row>
    <row r="29" spans="1:11" ht="17.100000000000001" customHeight="1" x14ac:dyDescent="0.2">
      <c r="A29" s="6" t="s">
        <v>118</v>
      </c>
      <c r="B29" s="39">
        <f t="shared" si="1"/>
        <v>470696</v>
      </c>
      <c r="C29" s="39">
        <f t="shared" si="2"/>
        <v>17425</v>
      </c>
      <c r="D29" s="39">
        <v>15215</v>
      </c>
      <c r="E29" s="39">
        <v>2210</v>
      </c>
      <c r="F29" s="39">
        <f t="shared" si="3"/>
        <v>15345</v>
      </c>
      <c r="G29" s="39">
        <v>130</v>
      </c>
      <c r="H29" s="39">
        <f t="shared" si="4"/>
        <v>453271</v>
      </c>
      <c r="I29" s="39">
        <v>110</v>
      </c>
      <c r="J29" s="39">
        <v>361</v>
      </c>
      <c r="K29" s="39">
        <v>452800</v>
      </c>
    </row>
    <row r="30" spans="1:11" ht="17.100000000000001" customHeight="1" x14ac:dyDescent="0.2">
      <c r="A30" s="6" t="s">
        <v>15</v>
      </c>
      <c r="B30" s="39">
        <f t="shared" si="1"/>
        <v>178070</v>
      </c>
      <c r="C30" s="39">
        <f t="shared" si="2"/>
        <v>52528</v>
      </c>
      <c r="D30" s="39">
        <v>33039</v>
      </c>
      <c r="E30" s="39">
        <v>19489</v>
      </c>
      <c r="F30" s="39">
        <f t="shared" si="3"/>
        <v>61030</v>
      </c>
      <c r="G30" s="39">
        <v>27991</v>
      </c>
      <c r="H30" s="39">
        <f t="shared" si="4"/>
        <v>125542</v>
      </c>
      <c r="I30" s="39">
        <v>49995</v>
      </c>
      <c r="J30" s="39">
        <v>9120</v>
      </c>
      <c r="K30" s="39">
        <v>66427</v>
      </c>
    </row>
    <row r="31" spans="1:11" ht="17.100000000000001" customHeight="1" x14ac:dyDescent="0.2">
      <c r="A31" s="6" t="s">
        <v>117</v>
      </c>
      <c r="B31" s="39">
        <f t="shared" si="1"/>
        <v>153761</v>
      </c>
      <c r="C31" s="39">
        <f t="shared" si="2"/>
        <v>17657</v>
      </c>
      <c r="D31" s="39">
        <v>9487</v>
      </c>
      <c r="E31" s="39">
        <v>8170</v>
      </c>
      <c r="F31" s="39">
        <f t="shared" si="3"/>
        <v>12020</v>
      </c>
      <c r="G31" s="39">
        <v>2533</v>
      </c>
      <c r="H31" s="39">
        <f t="shared" si="4"/>
        <v>136104</v>
      </c>
      <c r="I31" s="39">
        <v>2625</v>
      </c>
      <c r="J31" s="39">
        <v>4999</v>
      </c>
      <c r="K31" s="39">
        <v>128480</v>
      </c>
    </row>
    <row r="32" spans="1:11" ht="17.100000000000001" customHeight="1" x14ac:dyDescent="0.2">
      <c r="A32" s="6" t="s">
        <v>14</v>
      </c>
      <c r="B32" s="39">
        <f t="shared" si="1"/>
        <v>152761</v>
      </c>
      <c r="C32" s="39">
        <f t="shared" si="2"/>
        <v>84086</v>
      </c>
      <c r="D32" s="39">
        <v>77689</v>
      </c>
      <c r="E32" s="39">
        <v>6397</v>
      </c>
      <c r="F32" s="39">
        <f t="shared" si="3"/>
        <v>81901</v>
      </c>
      <c r="G32" s="39">
        <v>4212</v>
      </c>
      <c r="H32" s="39">
        <f t="shared" si="4"/>
        <v>68675</v>
      </c>
      <c r="I32" s="39">
        <v>22902</v>
      </c>
      <c r="J32" s="39">
        <f>105+437</f>
        <v>542</v>
      </c>
      <c r="K32" s="39">
        <v>45231</v>
      </c>
    </row>
    <row r="33" spans="1:11" ht="17.100000000000001" customHeight="1" x14ac:dyDescent="0.2">
      <c r="A33" s="6" t="s">
        <v>119</v>
      </c>
      <c r="B33" s="39">
        <f t="shared" si="1"/>
        <v>662000</v>
      </c>
      <c r="C33" s="39">
        <f t="shared" si="2"/>
        <v>19580</v>
      </c>
      <c r="D33" s="39">
        <v>16239</v>
      </c>
      <c r="E33" s="39">
        <v>3341</v>
      </c>
      <c r="F33" s="39">
        <f t="shared" si="3"/>
        <v>22089</v>
      </c>
      <c r="G33" s="39">
        <v>5850</v>
      </c>
      <c r="H33" s="39">
        <f t="shared" si="4"/>
        <v>642420</v>
      </c>
      <c r="I33" s="39">
        <v>44950</v>
      </c>
      <c r="J33" s="39">
        <v>2147</v>
      </c>
      <c r="K33" s="39">
        <v>595323</v>
      </c>
    </row>
    <row r="34" spans="1:11" ht="17.100000000000001" customHeight="1" x14ac:dyDescent="0.2">
      <c r="A34" s="6" t="s">
        <v>33</v>
      </c>
      <c r="B34" s="39">
        <f t="shared" si="1"/>
        <v>137434</v>
      </c>
      <c r="C34" s="39">
        <f t="shared" si="2"/>
        <v>40563</v>
      </c>
      <c r="D34" s="39">
        <v>39451</v>
      </c>
      <c r="E34" s="39">
        <v>1112</v>
      </c>
      <c r="F34" s="39">
        <f t="shared" si="3"/>
        <v>78902</v>
      </c>
      <c r="G34" s="39">
        <v>39451</v>
      </c>
      <c r="H34" s="39">
        <f t="shared" si="4"/>
        <v>96871</v>
      </c>
      <c r="I34" s="39">
        <v>37877</v>
      </c>
      <c r="J34" s="39">
        <v>44405</v>
      </c>
      <c r="K34" s="39">
        <v>14589</v>
      </c>
    </row>
    <row r="35" spans="1:11" ht="17.100000000000001" customHeight="1" x14ac:dyDescent="0.2">
      <c r="A35" s="6" t="s">
        <v>18</v>
      </c>
      <c r="B35" s="39">
        <f t="shared" si="1"/>
        <v>148689</v>
      </c>
      <c r="C35" s="39">
        <f t="shared" si="2"/>
        <v>87046</v>
      </c>
      <c r="D35" s="39">
        <v>59502</v>
      </c>
      <c r="E35" s="39">
        <v>27544</v>
      </c>
      <c r="F35" s="39">
        <f t="shared" si="3"/>
        <v>89171</v>
      </c>
      <c r="G35" s="39">
        <v>29669</v>
      </c>
      <c r="H35" s="39">
        <f t="shared" si="4"/>
        <v>61643</v>
      </c>
      <c r="I35" s="39">
        <v>26630</v>
      </c>
      <c r="J35" s="39">
        <v>26505</v>
      </c>
      <c r="K35" s="39">
        <v>8508</v>
      </c>
    </row>
    <row r="36" spans="1:11" ht="17.100000000000001" customHeight="1" x14ac:dyDescent="0.2">
      <c r="A36" s="6" t="s">
        <v>32</v>
      </c>
      <c r="B36" s="39">
        <f t="shared" si="1"/>
        <v>506528</v>
      </c>
      <c r="C36" s="39">
        <f t="shared" si="2"/>
        <v>97260</v>
      </c>
      <c r="D36" s="39">
        <v>87046</v>
      </c>
      <c r="E36" s="39">
        <v>10214</v>
      </c>
      <c r="F36" s="39">
        <f t="shared" si="3"/>
        <v>180126</v>
      </c>
      <c r="G36" s="39">
        <v>93080</v>
      </c>
      <c r="H36" s="39">
        <f t="shared" si="4"/>
        <v>409268</v>
      </c>
      <c r="I36" s="39">
        <v>129051</v>
      </c>
      <c r="J36" s="39">
        <v>138282</v>
      </c>
      <c r="K36" s="39">
        <v>141935</v>
      </c>
    </row>
    <row r="37" spans="1:11" ht="17.100000000000001" customHeight="1" x14ac:dyDescent="0.2">
      <c r="A37" s="6" t="s">
        <v>28</v>
      </c>
      <c r="B37" s="39">
        <f t="shared" si="1"/>
        <v>165599</v>
      </c>
      <c r="C37" s="39">
        <f t="shared" si="2"/>
        <v>15953</v>
      </c>
      <c r="D37" s="39">
        <v>14188</v>
      </c>
      <c r="E37" s="39">
        <v>1765</v>
      </c>
      <c r="F37" s="39">
        <f t="shared" si="3"/>
        <v>14520</v>
      </c>
      <c r="G37" s="39">
        <v>332</v>
      </c>
      <c r="H37" s="39">
        <f t="shared" si="4"/>
        <v>149646</v>
      </c>
      <c r="I37" s="39">
        <v>96866</v>
      </c>
      <c r="J37" s="39">
        <v>31325</v>
      </c>
      <c r="K37" s="39">
        <v>21455</v>
      </c>
    </row>
    <row r="38" spans="1:11" ht="17.100000000000001" customHeight="1" x14ac:dyDescent="0.2">
      <c r="A38" s="6" t="s">
        <v>94</v>
      </c>
      <c r="B38" s="39" t="s">
        <v>136</v>
      </c>
      <c r="C38" s="39" t="s">
        <v>136</v>
      </c>
      <c r="D38" s="39" t="s">
        <v>136</v>
      </c>
      <c r="E38" s="39" t="s">
        <v>136</v>
      </c>
      <c r="F38" s="39" t="s">
        <v>136</v>
      </c>
      <c r="G38" s="39" t="s">
        <v>136</v>
      </c>
      <c r="H38" s="39" t="s">
        <v>136</v>
      </c>
      <c r="I38" s="39" t="s">
        <v>136</v>
      </c>
      <c r="J38" s="39" t="s">
        <v>136</v>
      </c>
      <c r="K38" s="39" t="s">
        <v>136</v>
      </c>
    </row>
    <row r="39" spans="1:11" ht="13.15" customHeight="1" x14ac:dyDescent="0.2">
      <c r="A39" s="128" t="s">
        <v>76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ht="60" customHeight="1" x14ac:dyDescent="0.2">
      <c r="A40" s="126" t="s">
        <v>181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 s="26" customFormat="1" x14ac:dyDescent="0.2">
      <c r="A41" s="26" t="s">
        <v>97</v>
      </c>
      <c r="F41" s="34" t="s">
        <v>121</v>
      </c>
      <c r="J41" s="127" t="s">
        <v>36</v>
      </c>
      <c r="K41" s="127"/>
    </row>
    <row r="42" spans="1:11" ht="20.100000000000001" customHeight="1" x14ac:dyDescent="0.2">
      <c r="A42" s="125" t="s">
        <v>9</v>
      </c>
      <c r="B42" s="125" t="s">
        <v>129</v>
      </c>
      <c r="C42" s="125" t="s">
        <v>10</v>
      </c>
      <c r="D42" s="125"/>
      <c r="E42" s="125"/>
      <c r="F42" s="125" t="s">
        <v>6</v>
      </c>
      <c r="G42" s="125"/>
      <c r="H42" s="125" t="s">
        <v>7</v>
      </c>
      <c r="I42" s="125"/>
      <c r="J42" s="125"/>
      <c r="K42" s="125"/>
    </row>
    <row r="43" spans="1:11" ht="48" customHeight="1" x14ac:dyDescent="0.2">
      <c r="A43" s="125"/>
      <c r="B43" s="125"/>
      <c r="C43" s="43" t="s">
        <v>137</v>
      </c>
      <c r="D43" s="43" t="s">
        <v>11</v>
      </c>
      <c r="E43" s="43" t="s">
        <v>3</v>
      </c>
      <c r="F43" s="14" t="s">
        <v>138</v>
      </c>
      <c r="G43" s="43" t="s">
        <v>4</v>
      </c>
      <c r="H43" s="43" t="s">
        <v>139</v>
      </c>
      <c r="I43" s="43" t="s">
        <v>12</v>
      </c>
      <c r="J43" s="43" t="s">
        <v>13</v>
      </c>
      <c r="K43" s="43" t="s">
        <v>86</v>
      </c>
    </row>
    <row r="44" spans="1:11" ht="17.100000000000001" customHeight="1" x14ac:dyDescent="0.2">
      <c r="A44" s="54">
        <v>1</v>
      </c>
      <c r="B44" s="54">
        <v>2</v>
      </c>
      <c r="C44" s="54">
        <v>3</v>
      </c>
      <c r="D44" s="54">
        <v>4</v>
      </c>
      <c r="E44" s="54">
        <v>5</v>
      </c>
      <c r="F44" s="54">
        <v>6</v>
      </c>
      <c r="G44" s="54">
        <v>7</v>
      </c>
      <c r="H44" s="54">
        <v>8</v>
      </c>
      <c r="I44" s="54">
        <v>9</v>
      </c>
      <c r="J44" s="54">
        <v>10</v>
      </c>
      <c r="K44" s="54">
        <v>11</v>
      </c>
    </row>
    <row r="45" spans="1:11" ht="25.5" customHeight="1" x14ac:dyDescent="0.2">
      <c r="A45" s="83" t="s">
        <v>90</v>
      </c>
      <c r="B45" s="81">
        <f t="shared" ref="B45:K45" si="5">SUM(B46:B77)</f>
        <v>8355157</v>
      </c>
      <c r="C45" s="81">
        <f>SUM(D45,E45)</f>
        <v>1872695</v>
      </c>
      <c r="D45" s="81">
        <f t="shared" si="5"/>
        <v>1264425</v>
      </c>
      <c r="E45" s="81">
        <f t="shared" si="5"/>
        <v>608270</v>
      </c>
      <c r="F45" s="81">
        <f>SUM(D45,G45)</f>
        <v>1862532</v>
      </c>
      <c r="G45" s="81">
        <f t="shared" si="5"/>
        <v>598107</v>
      </c>
      <c r="H45" s="81">
        <f>SUM(I45,J45,K45)</f>
        <v>6482462</v>
      </c>
      <c r="I45" s="81">
        <f t="shared" si="5"/>
        <v>1318462</v>
      </c>
      <c r="J45" s="81">
        <f t="shared" si="5"/>
        <v>1239014</v>
      </c>
      <c r="K45" s="81">
        <f t="shared" si="5"/>
        <v>3924986</v>
      </c>
    </row>
    <row r="46" spans="1:11" s="8" customFormat="1" ht="17.100000000000001" customHeight="1" x14ac:dyDescent="0.2">
      <c r="A46" s="6" t="s">
        <v>22</v>
      </c>
      <c r="B46" s="39">
        <v>178401</v>
      </c>
      <c r="C46" s="39">
        <f t="shared" ref="C46:C76" si="6">SUM(D46,E46)</f>
        <v>47214</v>
      </c>
      <c r="D46" s="39">
        <v>43626</v>
      </c>
      <c r="E46" s="39">
        <v>3588</v>
      </c>
      <c r="F46" s="39">
        <f t="shared" ref="F46:F76" si="7">SUM(D46,G46)</f>
        <v>58516</v>
      </c>
      <c r="G46" s="39">
        <v>14890</v>
      </c>
      <c r="H46" s="39">
        <f t="shared" ref="H46:H76" si="8">SUM(I46,J46,K46)</f>
        <v>131187</v>
      </c>
      <c r="I46" s="39">
        <v>20500</v>
      </c>
      <c r="J46" s="39">
        <v>54593</v>
      </c>
      <c r="K46" s="39">
        <v>56094</v>
      </c>
    </row>
    <row r="47" spans="1:11" s="8" customFormat="1" ht="17.100000000000001" customHeight="1" x14ac:dyDescent="0.2">
      <c r="A47" s="6" t="s">
        <v>120</v>
      </c>
      <c r="B47" s="39">
        <v>129035</v>
      </c>
      <c r="C47" s="39">
        <f t="shared" si="6"/>
        <v>77142</v>
      </c>
      <c r="D47" s="39">
        <v>55641</v>
      </c>
      <c r="E47" s="39">
        <v>21501</v>
      </c>
      <c r="F47" s="39">
        <f t="shared" si="7"/>
        <v>69340</v>
      </c>
      <c r="G47" s="39">
        <v>13699</v>
      </c>
      <c r="H47" s="39">
        <f t="shared" si="8"/>
        <v>51893</v>
      </c>
      <c r="I47" s="39">
        <v>10053</v>
      </c>
      <c r="J47" s="39">
        <v>29700</v>
      </c>
      <c r="K47" s="39">
        <v>12140</v>
      </c>
    </row>
    <row r="48" spans="1:11" s="8" customFormat="1" ht="17.100000000000001" customHeight="1" x14ac:dyDescent="0.2">
      <c r="A48" s="6" t="s">
        <v>29</v>
      </c>
      <c r="B48" s="39">
        <f>118823+87700</f>
        <v>206523</v>
      </c>
      <c r="C48" s="39">
        <f t="shared" si="6"/>
        <v>97290</v>
      </c>
      <c r="D48" s="39">
        <f>29686+7861</f>
        <v>37547</v>
      </c>
      <c r="E48" s="39">
        <f>53357+6386</f>
        <v>59743</v>
      </c>
      <c r="F48" s="39">
        <f t="shared" si="7"/>
        <v>49175</v>
      </c>
      <c r="G48" s="39">
        <f>10335+1293</f>
        <v>11628</v>
      </c>
      <c r="H48" s="39">
        <f t="shared" si="8"/>
        <v>109233</v>
      </c>
      <c r="I48" s="39">
        <f>6530+2038</f>
        <v>8568</v>
      </c>
      <c r="J48" s="39">
        <v>562</v>
      </c>
      <c r="K48" s="39">
        <f>29250+70853</f>
        <v>100103</v>
      </c>
    </row>
    <row r="49" spans="1:11" s="8" customFormat="1" ht="17.100000000000001" customHeight="1" x14ac:dyDescent="0.2">
      <c r="A49" s="6" t="s">
        <v>25</v>
      </c>
      <c r="B49" s="39">
        <v>92997</v>
      </c>
      <c r="C49" s="39">
        <f t="shared" si="6"/>
        <v>23870</v>
      </c>
      <c r="D49" s="39">
        <v>20172</v>
      </c>
      <c r="E49" s="39">
        <v>3698</v>
      </c>
      <c r="F49" s="39">
        <f t="shared" si="7"/>
        <v>29241</v>
      </c>
      <c r="G49" s="39">
        <v>9069</v>
      </c>
      <c r="H49" s="39">
        <f t="shared" si="8"/>
        <v>69127</v>
      </c>
      <c r="I49" s="39">
        <v>26748</v>
      </c>
      <c r="J49" s="39">
        <v>37983</v>
      </c>
      <c r="K49" s="39">
        <v>4396</v>
      </c>
    </row>
    <row r="50" spans="1:11" s="8" customFormat="1" ht="17.100000000000001" customHeight="1" x14ac:dyDescent="0.2">
      <c r="A50" s="6" t="s">
        <v>34</v>
      </c>
      <c r="B50" s="39">
        <v>172431</v>
      </c>
      <c r="C50" s="39">
        <f t="shared" si="6"/>
        <v>55394</v>
      </c>
      <c r="D50" s="39">
        <v>50790</v>
      </c>
      <c r="E50" s="39">
        <v>4604</v>
      </c>
      <c r="F50" s="39">
        <f t="shared" si="7"/>
        <v>104137</v>
      </c>
      <c r="G50" s="39">
        <v>53347</v>
      </c>
      <c r="H50" s="39">
        <f t="shared" si="8"/>
        <v>117037</v>
      </c>
      <c r="I50" s="39">
        <v>75418</v>
      </c>
      <c r="J50" s="39">
        <v>31708</v>
      </c>
      <c r="K50" s="39">
        <v>9911</v>
      </c>
    </row>
    <row r="51" spans="1:11" s="8" customFormat="1" ht="17.100000000000001" customHeight="1" x14ac:dyDescent="0.2">
      <c r="A51" s="6" t="s">
        <v>16</v>
      </c>
      <c r="B51" s="39">
        <v>98641</v>
      </c>
      <c r="C51" s="39">
        <f t="shared" si="6"/>
        <v>73319</v>
      </c>
      <c r="D51" s="39">
        <v>61357</v>
      </c>
      <c r="E51" s="39">
        <v>11962</v>
      </c>
      <c r="F51" s="39">
        <f t="shared" si="7"/>
        <v>106541</v>
      </c>
      <c r="G51" s="39">
        <v>45184</v>
      </c>
      <c r="H51" s="39">
        <f t="shared" si="8"/>
        <v>25322</v>
      </c>
      <c r="I51" s="39">
        <v>6174</v>
      </c>
      <c r="J51" s="39" t="s">
        <v>136</v>
      </c>
      <c r="K51" s="39">
        <v>19148</v>
      </c>
    </row>
    <row r="52" spans="1:11" s="8" customFormat="1" ht="17.100000000000001" customHeight="1" x14ac:dyDescent="0.2">
      <c r="A52" s="6" t="s">
        <v>31</v>
      </c>
      <c r="B52" s="39">
        <v>97619</v>
      </c>
      <c r="C52" s="39">
        <f t="shared" si="6"/>
        <v>21500</v>
      </c>
      <c r="D52" s="39">
        <v>20108</v>
      </c>
      <c r="E52" s="39">
        <v>1392</v>
      </c>
      <c r="F52" s="39">
        <f t="shared" si="7"/>
        <v>27345</v>
      </c>
      <c r="G52" s="39">
        <v>7237</v>
      </c>
      <c r="H52" s="39">
        <f t="shared" si="8"/>
        <v>76119</v>
      </c>
      <c r="I52" s="39">
        <v>3884</v>
      </c>
      <c r="J52" s="39">
        <v>41949</v>
      </c>
      <c r="K52" s="39">
        <v>30286</v>
      </c>
    </row>
    <row r="53" spans="1:11" s="8" customFormat="1" ht="17.100000000000001" customHeight="1" x14ac:dyDescent="0.2">
      <c r="A53" s="6" t="s">
        <v>27</v>
      </c>
      <c r="B53" s="39">
        <f>730575+322824</f>
        <v>1053399</v>
      </c>
      <c r="C53" s="39">
        <f t="shared" si="6"/>
        <v>254691</v>
      </c>
      <c r="D53" s="39">
        <f>132397+6319</f>
        <v>138716</v>
      </c>
      <c r="E53" s="39">
        <f>114404+1571</f>
        <v>115975</v>
      </c>
      <c r="F53" s="39">
        <f t="shared" si="7"/>
        <v>154486</v>
      </c>
      <c r="G53" s="39">
        <f>15208+562</f>
        <v>15770</v>
      </c>
      <c r="H53" s="39">
        <f t="shared" si="8"/>
        <v>798708</v>
      </c>
      <c r="I53" s="39">
        <f>335487+29970</f>
        <v>365457</v>
      </c>
      <c r="J53" s="39">
        <f>3909+103</f>
        <v>4012</v>
      </c>
      <c r="K53" s="39">
        <f>144378+284861</f>
        <v>429239</v>
      </c>
    </row>
    <row r="54" spans="1:11" s="8" customFormat="1" ht="17.100000000000001" customHeight="1" x14ac:dyDescent="0.2">
      <c r="A54" s="6" t="s">
        <v>92</v>
      </c>
      <c r="B54" s="39">
        <v>142638</v>
      </c>
      <c r="C54" s="39">
        <f t="shared" si="6"/>
        <v>41004</v>
      </c>
      <c r="D54" s="39">
        <v>35832</v>
      </c>
      <c r="E54" s="39">
        <v>5172</v>
      </c>
      <c r="F54" s="39">
        <f t="shared" si="7"/>
        <v>71531</v>
      </c>
      <c r="G54" s="39">
        <v>35699</v>
      </c>
      <c r="H54" s="39">
        <f t="shared" si="8"/>
        <v>101634</v>
      </c>
      <c r="I54" s="39">
        <v>15389</v>
      </c>
      <c r="J54" s="39">
        <v>77515</v>
      </c>
      <c r="K54" s="39">
        <v>8730</v>
      </c>
    </row>
    <row r="55" spans="1:11" s="8" customFormat="1" ht="17.100000000000001" customHeight="1" x14ac:dyDescent="0.2">
      <c r="A55" s="6" t="s">
        <v>93</v>
      </c>
      <c r="B55" s="39">
        <v>126500</v>
      </c>
      <c r="C55" s="39">
        <f t="shared" si="6"/>
        <v>31572</v>
      </c>
      <c r="D55" s="39">
        <v>28330</v>
      </c>
      <c r="E55" s="39">
        <v>3242</v>
      </c>
      <c r="F55" s="39">
        <f t="shared" si="7"/>
        <v>52720</v>
      </c>
      <c r="G55" s="39">
        <v>24390</v>
      </c>
      <c r="H55" s="39">
        <f t="shared" si="8"/>
        <v>94928</v>
      </c>
      <c r="I55" s="39">
        <v>6177</v>
      </c>
      <c r="J55" s="39">
        <v>81332</v>
      </c>
      <c r="K55" s="39">
        <v>7419</v>
      </c>
    </row>
    <row r="56" spans="1:11" s="8" customFormat="1" ht="17.100000000000001" customHeight="1" x14ac:dyDescent="0.2">
      <c r="A56" s="6" t="s">
        <v>20</v>
      </c>
      <c r="B56" s="39">
        <v>132265</v>
      </c>
      <c r="C56" s="39">
        <f t="shared" si="6"/>
        <v>27287</v>
      </c>
      <c r="D56" s="39">
        <v>21879</v>
      </c>
      <c r="E56" s="39">
        <v>5408</v>
      </c>
      <c r="F56" s="39">
        <f t="shared" si="7"/>
        <v>34490</v>
      </c>
      <c r="G56" s="39">
        <v>12611</v>
      </c>
      <c r="H56" s="39">
        <f t="shared" si="8"/>
        <v>104978</v>
      </c>
      <c r="I56" s="39">
        <v>12325</v>
      </c>
      <c r="J56" s="39">
        <v>9881</v>
      </c>
      <c r="K56" s="39">
        <v>82772</v>
      </c>
    </row>
    <row r="57" spans="1:11" s="8" customFormat="1" ht="17.100000000000001" customHeight="1" x14ac:dyDescent="0.2">
      <c r="A57" s="6" t="s">
        <v>23</v>
      </c>
      <c r="B57" s="39">
        <v>192134</v>
      </c>
      <c r="C57" s="39">
        <f t="shared" si="6"/>
        <v>69158</v>
      </c>
      <c r="D57" s="39">
        <v>64570</v>
      </c>
      <c r="E57" s="39">
        <v>4588</v>
      </c>
      <c r="F57" s="39">
        <f t="shared" si="7"/>
        <v>84316</v>
      </c>
      <c r="G57" s="39">
        <v>19746</v>
      </c>
      <c r="H57" s="39">
        <f t="shared" si="8"/>
        <v>122976</v>
      </c>
      <c r="I57" s="39">
        <v>38494</v>
      </c>
      <c r="J57" s="39">
        <v>15034</v>
      </c>
      <c r="K57" s="39">
        <v>69448</v>
      </c>
    </row>
    <row r="58" spans="1:11" s="8" customFormat="1" ht="17.100000000000001" customHeight="1" x14ac:dyDescent="0.2">
      <c r="A58" s="6" t="s">
        <v>113</v>
      </c>
      <c r="B58" s="39">
        <v>265202</v>
      </c>
      <c r="C58" s="39">
        <f t="shared" si="6"/>
        <v>75642</v>
      </c>
      <c r="D58" s="39">
        <v>26858</v>
      </c>
      <c r="E58" s="39">
        <v>48784</v>
      </c>
      <c r="F58" s="39">
        <f t="shared" si="7"/>
        <v>28074</v>
      </c>
      <c r="G58" s="39">
        <v>1216</v>
      </c>
      <c r="H58" s="39">
        <f t="shared" si="8"/>
        <v>189560</v>
      </c>
      <c r="I58" s="39">
        <v>16669</v>
      </c>
      <c r="J58" s="39">
        <v>5712</v>
      </c>
      <c r="K58" s="39">
        <v>167179</v>
      </c>
    </row>
    <row r="59" spans="1:11" s="8" customFormat="1" ht="17.100000000000001" customHeight="1" x14ac:dyDescent="0.2">
      <c r="A59" s="6" t="s">
        <v>114</v>
      </c>
      <c r="B59" s="39">
        <v>257676</v>
      </c>
      <c r="C59" s="39">
        <f t="shared" si="6"/>
        <v>24518</v>
      </c>
      <c r="D59" s="39">
        <v>17583</v>
      </c>
      <c r="E59" s="39">
        <v>6935</v>
      </c>
      <c r="F59" s="39">
        <f t="shared" si="7"/>
        <v>21362</v>
      </c>
      <c r="G59" s="39">
        <v>3779</v>
      </c>
      <c r="H59" s="39">
        <f t="shared" si="8"/>
        <v>233158</v>
      </c>
      <c r="I59" s="39">
        <v>48650</v>
      </c>
      <c r="J59" s="39">
        <v>2080</v>
      </c>
      <c r="K59" s="39">
        <v>182428</v>
      </c>
    </row>
    <row r="60" spans="1:11" s="8" customFormat="1" ht="17.100000000000001" customHeight="1" x14ac:dyDescent="0.2">
      <c r="A60" s="6" t="s">
        <v>19</v>
      </c>
      <c r="B60" s="39">
        <f>295131+44600</f>
        <v>339731</v>
      </c>
      <c r="C60" s="39">
        <f t="shared" si="6"/>
        <v>77209</v>
      </c>
      <c r="D60" s="39">
        <f>11468+2162</f>
        <v>13630</v>
      </c>
      <c r="E60" s="39">
        <f>61318+2261</f>
        <v>63579</v>
      </c>
      <c r="F60" s="39">
        <f t="shared" si="7"/>
        <v>27342</v>
      </c>
      <c r="G60" s="39">
        <f>11468+2244</f>
        <v>13712</v>
      </c>
      <c r="H60" s="39">
        <f t="shared" si="8"/>
        <v>262522</v>
      </c>
      <c r="I60" s="39">
        <f>28956+4300</f>
        <v>33256</v>
      </c>
      <c r="J60" s="39">
        <f>4539+262</f>
        <v>4801</v>
      </c>
      <c r="K60" s="39">
        <f>188850+35615</f>
        <v>224465</v>
      </c>
    </row>
    <row r="61" spans="1:11" s="8" customFormat="1" ht="17.100000000000001" customHeight="1" x14ac:dyDescent="0.2">
      <c r="A61" s="6" t="s">
        <v>26</v>
      </c>
      <c r="B61" s="39">
        <v>758116</v>
      </c>
      <c r="C61" s="39">
        <f t="shared" si="6"/>
        <v>36749</v>
      </c>
      <c r="D61" s="39">
        <v>26960</v>
      </c>
      <c r="E61" s="39">
        <v>9789</v>
      </c>
      <c r="F61" s="39">
        <f t="shared" si="7"/>
        <v>28648</v>
      </c>
      <c r="G61" s="39">
        <v>1688</v>
      </c>
      <c r="H61" s="39">
        <f t="shared" si="8"/>
        <v>721367</v>
      </c>
      <c r="I61" s="39">
        <v>117249</v>
      </c>
      <c r="J61" s="39">
        <v>216699</v>
      </c>
      <c r="K61" s="39">
        <v>387419</v>
      </c>
    </row>
    <row r="62" spans="1:11" s="8" customFormat="1" ht="17.100000000000001" customHeight="1" x14ac:dyDescent="0.2">
      <c r="A62" s="6" t="s">
        <v>115</v>
      </c>
      <c r="B62" s="39">
        <v>338061</v>
      </c>
      <c r="C62" s="39">
        <f t="shared" si="6"/>
        <v>26591</v>
      </c>
      <c r="D62" s="39">
        <v>13812</v>
      </c>
      <c r="E62" s="39">
        <v>12779</v>
      </c>
      <c r="F62" s="39">
        <f t="shared" si="7"/>
        <v>15787</v>
      </c>
      <c r="G62" s="39">
        <v>1975</v>
      </c>
      <c r="H62" s="39">
        <f t="shared" si="8"/>
        <v>311470</v>
      </c>
      <c r="I62" s="39">
        <v>3345</v>
      </c>
      <c r="J62" s="39">
        <v>13120</v>
      </c>
      <c r="K62" s="39">
        <v>295005</v>
      </c>
    </row>
    <row r="63" spans="1:11" s="8" customFormat="1" ht="17.100000000000001" customHeight="1" x14ac:dyDescent="0.2">
      <c r="A63" s="6" t="s">
        <v>30</v>
      </c>
      <c r="B63" s="39">
        <v>314973</v>
      </c>
      <c r="C63" s="39">
        <f t="shared" si="6"/>
        <v>116900</v>
      </c>
      <c r="D63" s="39">
        <v>35390</v>
      </c>
      <c r="E63" s="39">
        <v>81510</v>
      </c>
      <c r="F63" s="39">
        <f t="shared" si="7"/>
        <v>38316</v>
      </c>
      <c r="G63" s="39">
        <v>2926</v>
      </c>
      <c r="H63" s="39">
        <f t="shared" si="8"/>
        <v>198073</v>
      </c>
      <c r="I63" s="39">
        <v>85903</v>
      </c>
      <c r="J63" s="39" t="s">
        <v>136</v>
      </c>
      <c r="K63" s="39">
        <v>112170</v>
      </c>
    </row>
    <row r="64" spans="1:11" s="8" customFormat="1" ht="17.100000000000001" customHeight="1" x14ac:dyDescent="0.2">
      <c r="A64" s="6" t="s">
        <v>35</v>
      </c>
      <c r="B64" s="39">
        <v>52134</v>
      </c>
      <c r="C64" s="39">
        <f t="shared" si="6"/>
        <v>45681</v>
      </c>
      <c r="D64" s="39">
        <v>31638</v>
      </c>
      <c r="E64" s="39">
        <v>14043</v>
      </c>
      <c r="F64" s="39">
        <f t="shared" si="7"/>
        <v>49717</v>
      </c>
      <c r="G64" s="39">
        <v>18079</v>
      </c>
      <c r="H64" s="39">
        <f t="shared" si="8"/>
        <v>6453</v>
      </c>
      <c r="I64" s="39">
        <v>1023</v>
      </c>
      <c r="J64" s="39">
        <v>4405</v>
      </c>
      <c r="K64" s="39">
        <v>1025</v>
      </c>
    </row>
    <row r="65" spans="1:11" s="8" customFormat="1" ht="17.100000000000001" customHeight="1" x14ac:dyDescent="0.2">
      <c r="A65" s="6" t="s">
        <v>24</v>
      </c>
      <c r="B65" s="39">
        <v>439423</v>
      </c>
      <c r="C65" s="39">
        <f t="shared" si="6"/>
        <v>77354</v>
      </c>
      <c r="D65" s="39">
        <v>62849</v>
      </c>
      <c r="E65" s="39">
        <v>14505</v>
      </c>
      <c r="F65" s="39">
        <f t="shared" si="7"/>
        <v>99557</v>
      </c>
      <c r="G65" s="39">
        <v>36708</v>
      </c>
      <c r="H65" s="39">
        <f t="shared" si="8"/>
        <v>362069</v>
      </c>
      <c r="I65" s="39">
        <v>17702</v>
      </c>
      <c r="J65" s="39">
        <v>332252</v>
      </c>
      <c r="K65" s="39">
        <v>12115</v>
      </c>
    </row>
    <row r="66" spans="1:11" s="8" customFormat="1" ht="17.100000000000001" customHeight="1" x14ac:dyDescent="0.2">
      <c r="A66" s="6" t="s">
        <v>105</v>
      </c>
      <c r="B66" s="39">
        <v>162100</v>
      </c>
      <c r="C66" s="39">
        <f t="shared" si="6"/>
        <v>99196</v>
      </c>
      <c r="D66" s="39">
        <v>80550</v>
      </c>
      <c r="E66" s="39">
        <v>18646</v>
      </c>
      <c r="F66" s="39">
        <f t="shared" si="7"/>
        <v>109676</v>
      </c>
      <c r="G66" s="39">
        <v>29126</v>
      </c>
      <c r="H66" s="39">
        <f t="shared" si="8"/>
        <v>62904</v>
      </c>
      <c r="I66" s="39">
        <v>5188</v>
      </c>
      <c r="J66" s="39">
        <v>7920</v>
      </c>
      <c r="K66" s="39">
        <v>49796</v>
      </c>
    </row>
    <row r="67" spans="1:11" s="8" customFormat="1" ht="17.100000000000001" customHeight="1" x14ac:dyDescent="0.2">
      <c r="A67" s="6" t="s">
        <v>116</v>
      </c>
      <c r="B67" s="39">
        <v>229620</v>
      </c>
      <c r="C67" s="39">
        <f t="shared" si="6"/>
        <v>23604</v>
      </c>
      <c r="D67" s="39">
        <v>21552</v>
      </c>
      <c r="E67" s="39">
        <v>2052</v>
      </c>
      <c r="F67" s="39">
        <f t="shared" si="7"/>
        <v>25467</v>
      </c>
      <c r="G67" s="39">
        <v>3915</v>
      </c>
      <c r="H67" s="39">
        <f t="shared" si="8"/>
        <v>206016</v>
      </c>
      <c r="I67" s="39">
        <v>7280</v>
      </c>
      <c r="J67" s="39">
        <v>10006</v>
      </c>
      <c r="K67" s="39">
        <v>188730</v>
      </c>
    </row>
    <row r="68" spans="1:11" s="8" customFormat="1" ht="17.100000000000001" customHeight="1" x14ac:dyDescent="0.2">
      <c r="A68" s="6" t="s">
        <v>118</v>
      </c>
      <c r="B68" s="39">
        <v>470696</v>
      </c>
      <c r="C68" s="39">
        <f t="shared" si="6"/>
        <v>17425</v>
      </c>
      <c r="D68" s="39">
        <v>15135</v>
      </c>
      <c r="E68" s="39">
        <v>2290</v>
      </c>
      <c r="F68" s="39">
        <f t="shared" si="7"/>
        <v>17670</v>
      </c>
      <c r="G68" s="39">
        <v>2535</v>
      </c>
      <c r="H68" s="39">
        <f t="shared" si="8"/>
        <v>453271</v>
      </c>
      <c r="I68" s="39">
        <v>110</v>
      </c>
      <c r="J68" s="39">
        <v>361</v>
      </c>
      <c r="K68" s="39">
        <v>452800</v>
      </c>
    </row>
    <row r="69" spans="1:11" s="8" customFormat="1" ht="17.100000000000001" customHeight="1" x14ac:dyDescent="0.2">
      <c r="A69" s="6" t="s">
        <v>15</v>
      </c>
      <c r="B69" s="39">
        <v>178070</v>
      </c>
      <c r="C69" s="39">
        <f t="shared" si="6"/>
        <v>52528</v>
      </c>
      <c r="D69" s="39">
        <v>26833</v>
      </c>
      <c r="E69" s="39">
        <v>25695</v>
      </c>
      <c r="F69" s="39">
        <f t="shared" si="7"/>
        <v>49585</v>
      </c>
      <c r="G69" s="39">
        <v>22752</v>
      </c>
      <c r="H69" s="39">
        <f t="shared" si="8"/>
        <v>125542</v>
      </c>
      <c r="I69" s="39">
        <v>49995</v>
      </c>
      <c r="J69" s="39">
        <v>9120</v>
      </c>
      <c r="K69" s="39">
        <v>66427</v>
      </c>
    </row>
    <row r="70" spans="1:11" s="8" customFormat="1" ht="17.100000000000001" customHeight="1" x14ac:dyDescent="0.2">
      <c r="A70" s="6" t="s">
        <v>117</v>
      </c>
      <c r="B70" s="39">
        <v>153761</v>
      </c>
      <c r="C70" s="39">
        <f t="shared" si="6"/>
        <v>17866</v>
      </c>
      <c r="D70" s="39">
        <v>9396</v>
      </c>
      <c r="E70" s="39">
        <v>8470</v>
      </c>
      <c r="F70" s="39">
        <f t="shared" si="7"/>
        <v>12026</v>
      </c>
      <c r="G70" s="39">
        <v>2630</v>
      </c>
      <c r="H70" s="39">
        <f t="shared" si="8"/>
        <v>135895</v>
      </c>
      <c r="I70" s="39">
        <v>2345</v>
      </c>
      <c r="J70" s="39">
        <v>5070</v>
      </c>
      <c r="K70" s="39">
        <v>128480</v>
      </c>
    </row>
    <row r="71" spans="1:11" s="8" customFormat="1" ht="17.100000000000001" customHeight="1" x14ac:dyDescent="0.2">
      <c r="A71" s="6" t="s">
        <v>14</v>
      </c>
      <c r="B71" s="39">
        <f>126661+26100</f>
        <v>152761</v>
      </c>
      <c r="C71" s="39">
        <f t="shared" si="6"/>
        <v>84119</v>
      </c>
      <c r="D71" s="39">
        <f>78383+4450</f>
        <v>82833</v>
      </c>
      <c r="E71" s="39">
        <f>471+815</f>
        <v>1286</v>
      </c>
      <c r="F71" s="39">
        <f t="shared" si="7"/>
        <v>84501</v>
      </c>
      <c r="G71" s="39">
        <f>797+871</f>
        <v>1668</v>
      </c>
      <c r="H71" s="39">
        <f t="shared" si="8"/>
        <v>68642</v>
      </c>
      <c r="I71" s="39">
        <f>19629+3240</f>
        <v>22869</v>
      </c>
      <c r="J71" s="39">
        <f>105+430</f>
        <v>535</v>
      </c>
      <c r="K71" s="39">
        <f>28073+17165</f>
        <v>45238</v>
      </c>
    </row>
    <row r="72" spans="1:11" s="8" customFormat="1" ht="17.100000000000001" customHeight="1" x14ac:dyDescent="0.2">
      <c r="A72" s="6" t="s">
        <v>119</v>
      </c>
      <c r="B72" s="39">
        <v>662000</v>
      </c>
      <c r="C72" s="39">
        <f t="shared" si="6"/>
        <v>19580</v>
      </c>
      <c r="D72" s="39">
        <v>16239</v>
      </c>
      <c r="E72" s="39">
        <v>3341</v>
      </c>
      <c r="F72" s="39">
        <f t="shared" si="7"/>
        <v>24306</v>
      </c>
      <c r="G72" s="39">
        <v>8067</v>
      </c>
      <c r="H72" s="39">
        <f t="shared" si="8"/>
        <v>642420</v>
      </c>
      <c r="I72" s="39">
        <v>44950</v>
      </c>
      <c r="J72" s="39">
        <v>2147</v>
      </c>
      <c r="K72" s="39">
        <v>595323</v>
      </c>
    </row>
    <row r="73" spans="1:11" s="8" customFormat="1" ht="17.100000000000001" customHeight="1" x14ac:dyDescent="0.2">
      <c r="A73" s="6" t="s">
        <v>33</v>
      </c>
      <c r="B73" s="39">
        <v>137434</v>
      </c>
      <c r="C73" s="39">
        <f t="shared" si="6"/>
        <v>40563</v>
      </c>
      <c r="D73" s="39">
        <v>39842</v>
      </c>
      <c r="E73" s="39">
        <v>721</v>
      </c>
      <c r="F73" s="39">
        <f t="shared" si="7"/>
        <v>105519</v>
      </c>
      <c r="G73" s="39">
        <v>65677</v>
      </c>
      <c r="H73" s="39">
        <f t="shared" si="8"/>
        <v>96871</v>
      </c>
      <c r="I73" s="39">
        <v>37877</v>
      </c>
      <c r="J73" s="39">
        <v>44405</v>
      </c>
      <c r="K73" s="39">
        <v>14589</v>
      </c>
    </row>
    <row r="74" spans="1:11" s="8" customFormat="1" ht="17.100000000000001" customHeight="1" x14ac:dyDescent="0.2">
      <c r="A74" s="6" t="s">
        <v>18</v>
      </c>
      <c r="B74" s="39">
        <v>148689</v>
      </c>
      <c r="C74" s="39">
        <f t="shared" si="6"/>
        <v>87046</v>
      </c>
      <c r="D74" s="39">
        <v>59156</v>
      </c>
      <c r="E74" s="39">
        <v>27890</v>
      </c>
      <c r="F74" s="39">
        <f t="shared" si="7"/>
        <v>87956</v>
      </c>
      <c r="G74" s="39">
        <v>28800</v>
      </c>
      <c r="H74" s="39">
        <f t="shared" si="8"/>
        <v>61643</v>
      </c>
      <c r="I74" s="39">
        <v>26630</v>
      </c>
      <c r="J74" s="39">
        <v>26505</v>
      </c>
      <c r="K74" s="39">
        <v>8508</v>
      </c>
    </row>
    <row r="75" spans="1:11" s="8" customFormat="1" ht="17.100000000000001" customHeight="1" x14ac:dyDescent="0.2">
      <c r="A75" s="6" t="s">
        <v>32</v>
      </c>
      <c r="B75" s="39">
        <v>506528</v>
      </c>
      <c r="C75" s="39">
        <f t="shared" si="6"/>
        <v>97077</v>
      </c>
      <c r="D75" s="39">
        <v>86525</v>
      </c>
      <c r="E75" s="39">
        <v>10552</v>
      </c>
      <c r="F75" s="39">
        <f t="shared" si="7"/>
        <v>175764</v>
      </c>
      <c r="G75" s="39">
        <v>89239</v>
      </c>
      <c r="H75" s="39">
        <f t="shared" si="8"/>
        <v>409451</v>
      </c>
      <c r="I75" s="39">
        <v>129021</v>
      </c>
      <c r="J75" s="39">
        <v>138282</v>
      </c>
      <c r="K75" s="39">
        <v>142148</v>
      </c>
    </row>
    <row r="76" spans="1:11" s="8" customFormat="1" ht="17.100000000000001" customHeight="1" x14ac:dyDescent="0.2">
      <c r="A76" s="6" t="s">
        <v>28</v>
      </c>
      <c r="B76" s="39">
        <v>165599</v>
      </c>
      <c r="C76" s="39">
        <f t="shared" si="6"/>
        <v>33606</v>
      </c>
      <c r="D76" s="39">
        <v>19076</v>
      </c>
      <c r="E76" s="39">
        <v>14530</v>
      </c>
      <c r="F76" s="39">
        <f t="shared" si="7"/>
        <v>19421</v>
      </c>
      <c r="G76" s="39">
        <v>345</v>
      </c>
      <c r="H76" s="39">
        <f t="shared" si="8"/>
        <v>131993</v>
      </c>
      <c r="I76" s="39">
        <v>79213</v>
      </c>
      <c r="J76" s="39">
        <v>31325</v>
      </c>
      <c r="K76" s="39">
        <v>21455</v>
      </c>
    </row>
    <row r="77" spans="1:11" s="8" customFormat="1" ht="17.100000000000001" customHeight="1" x14ac:dyDescent="0.2">
      <c r="A77" s="6" t="s">
        <v>94</v>
      </c>
      <c r="B77" s="39" t="s">
        <v>136</v>
      </c>
      <c r="C77" s="39" t="s">
        <v>136</v>
      </c>
      <c r="D77" s="39" t="s">
        <v>136</v>
      </c>
      <c r="E77" s="39" t="s">
        <v>136</v>
      </c>
      <c r="F77" s="39" t="s">
        <v>136</v>
      </c>
      <c r="G77" s="39" t="s">
        <v>136</v>
      </c>
      <c r="H77" s="39" t="s">
        <v>136</v>
      </c>
      <c r="I77" s="39" t="s">
        <v>136</v>
      </c>
      <c r="J77" s="39" t="s">
        <v>136</v>
      </c>
      <c r="K77" s="39" t="s">
        <v>136</v>
      </c>
    </row>
    <row r="78" spans="1:11" ht="13.15" customHeight="1" x14ac:dyDescent="0.2">
      <c r="A78" s="7"/>
      <c r="B78" s="8"/>
      <c r="C78" s="8"/>
      <c r="D78" s="8"/>
      <c r="E78" s="8"/>
      <c r="F78" s="18"/>
      <c r="G78" s="8"/>
      <c r="H78" s="8"/>
      <c r="I78" s="8"/>
      <c r="J78" s="8"/>
      <c r="K78" s="8" t="s">
        <v>76</v>
      </c>
    </row>
    <row r="79" spans="1:11" ht="60" customHeight="1" x14ac:dyDescent="0.2">
      <c r="A79" s="126" t="s">
        <v>181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11" s="26" customFormat="1" ht="12" x14ac:dyDescent="0.2">
      <c r="A80" s="26" t="s">
        <v>97</v>
      </c>
      <c r="F80" s="27" t="s">
        <v>134</v>
      </c>
      <c r="J80" s="127" t="s">
        <v>87</v>
      </c>
      <c r="K80" s="127"/>
    </row>
    <row r="81" spans="1:11" ht="20.100000000000001" customHeight="1" x14ac:dyDescent="0.2">
      <c r="A81" s="125" t="s">
        <v>9</v>
      </c>
      <c r="B81" s="125" t="s">
        <v>130</v>
      </c>
      <c r="C81" s="125" t="s">
        <v>10</v>
      </c>
      <c r="D81" s="125"/>
      <c r="E81" s="125"/>
      <c r="F81" s="125" t="s">
        <v>6</v>
      </c>
      <c r="G81" s="125"/>
      <c r="H81" s="125" t="s">
        <v>7</v>
      </c>
      <c r="I81" s="125"/>
      <c r="J81" s="125"/>
      <c r="K81" s="125"/>
    </row>
    <row r="82" spans="1:11" ht="48" customHeight="1" x14ac:dyDescent="0.2">
      <c r="A82" s="125"/>
      <c r="B82" s="125"/>
      <c r="C82" s="43" t="s">
        <v>137</v>
      </c>
      <c r="D82" s="43" t="s">
        <v>11</v>
      </c>
      <c r="E82" s="43" t="s">
        <v>3</v>
      </c>
      <c r="F82" s="14" t="s">
        <v>138</v>
      </c>
      <c r="G82" s="43" t="s">
        <v>4</v>
      </c>
      <c r="H82" s="43" t="s">
        <v>139</v>
      </c>
      <c r="I82" s="43" t="s">
        <v>12</v>
      </c>
      <c r="J82" s="43" t="s">
        <v>13</v>
      </c>
      <c r="K82" s="43" t="s">
        <v>86</v>
      </c>
    </row>
    <row r="83" spans="1:11" ht="17.100000000000001" customHeight="1" x14ac:dyDescent="0.2">
      <c r="A83" s="54">
        <v>1</v>
      </c>
      <c r="B83" s="54">
        <v>2</v>
      </c>
      <c r="C83" s="54">
        <v>3</v>
      </c>
      <c r="D83" s="54">
        <v>4</v>
      </c>
      <c r="E83" s="54">
        <v>5</v>
      </c>
      <c r="F83" s="55">
        <v>6</v>
      </c>
      <c r="G83" s="54">
        <v>7</v>
      </c>
      <c r="H83" s="54">
        <v>8</v>
      </c>
      <c r="I83" s="54">
        <v>9</v>
      </c>
      <c r="J83" s="54">
        <v>10</v>
      </c>
      <c r="K83" s="54">
        <v>11</v>
      </c>
    </row>
    <row r="84" spans="1:11" ht="25.5" customHeight="1" x14ac:dyDescent="0.2">
      <c r="A84" s="83" t="s">
        <v>90</v>
      </c>
      <c r="B84" s="84">
        <f t="shared" ref="B84:K84" si="9">SUM(B85:B116)</f>
        <v>8355157</v>
      </c>
      <c r="C84" s="84">
        <f>SUM(D84,E84)</f>
        <v>1875537</v>
      </c>
      <c r="D84" s="84">
        <f t="shared" si="9"/>
        <v>1280935</v>
      </c>
      <c r="E84" s="84">
        <f t="shared" si="9"/>
        <v>594602</v>
      </c>
      <c r="F84" s="85">
        <f>SUM(D84,G84)</f>
        <v>1830984</v>
      </c>
      <c r="G84" s="84">
        <f t="shared" si="9"/>
        <v>550049</v>
      </c>
      <c r="H84" s="84">
        <f>SUM(I84,J84,K84)</f>
        <v>6479620</v>
      </c>
      <c r="I84" s="84">
        <f t="shared" si="9"/>
        <v>1315433</v>
      </c>
      <c r="J84" s="84">
        <f t="shared" si="9"/>
        <v>1239080</v>
      </c>
      <c r="K84" s="84">
        <f t="shared" si="9"/>
        <v>3925107</v>
      </c>
    </row>
    <row r="85" spans="1:11" ht="17.100000000000001" customHeight="1" x14ac:dyDescent="0.2">
      <c r="A85" s="51" t="s">
        <v>22</v>
      </c>
      <c r="B85" s="39">
        <v>178401</v>
      </c>
      <c r="C85" s="56">
        <f t="shared" ref="C85:C115" si="10">SUM(D85,E85)</f>
        <v>47214</v>
      </c>
      <c r="D85" s="39">
        <v>43623</v>
      </c>
      <c r="E85" s="39">
        <v>3591</v>
      </c>
      <c r="F85" s="57">
        <f t="shared" ref="F85:F115" si="11">SUM(D85,G85)</f>
        <v>58513</v>
      </c>
      <c r="G85" s="39">
        <v>14890</v>
      </c>
      <c r="H85" s="56">
        <f t="shared" ref="H85:H115" si="12">SUM(I85,J85,K85)</f>
        <v>131187</v>
      </c>
      <c r="I85" s="39">
        <v>20500</v>
      </c>
      <c r="J85" s="39">
        <v>54593</v>
      </c>
      <c r="K85" s="39">
        <v>56094</v>
      </c>
    </row>
    <row r="86" spans="1:11" ht="17.100000000000001" customHeight="1" x14ac:dyDescent="0.2">
      <c r="A86" s="51" t="s">
        <v>120</v>
      </c>
      <c r="B86" s="39">
        <v>129035</v>
      </c>
      <c r="C86" s="56">
        <f t="shared" si="10"/>
        <v>77166</v>
      </c>
      <c r="D86" s="39">
        <v>55703</v>
      </c>
      <c r="E86" s="39">
        <v>21463</v>
      </c>
      <c r="F86" s="57">
        <f t="shared" si="11"/>
        <v>69508</v>
      </c>
      <c r="G86" s="39">
        <v>13805</v>
      </c>
      <c r="H86" s="56">
        <f t="shared" si="12"/>
        <v>51869</v>
      </c>
      <c r="I86" s="39">
        <v>10002</v>
      </c>
      <c r="J86" s="39">
        <v>29722</v>
      </c>
      <c r="K86" s="39">
        <v>12145</v>
      </c>
    </row>
    <row r="87" spans="1:11" ht="17.100000000000001" customHeight="1" x14ac:dyDescent="0.2">
      <c r="A87" s="51" t="s">
        <v>29</v>
      </c>
      <c r="B87" s="39">
        <v>206523</v>
      </c>
      <c r="C87" s="56">
        <f t="shared" si="10"/>
        <v>97322</v>
      </c>
      <c r="D87" s="39">
        <v>37988</v>
      </c>
      <c r="E87" s="39">
        <v>59334</v>
      </c>
      <c r="F87" s="57">
        <f t="shared" si="11"/>
        <v>49752</v>
      </c>
      <c r="G87" s="39">
        <v>11764</v>
      </c>
      <c r="H87" s="56">
        <f t="shared" si="12"/>
        <v>109201</v>
      </c>
      <c r="I87" s="39">
        <v>8518</v>
      </c>
      <c r="J87" s="50">
        <v>578</v>
      </c>
      <c r="K87" s="39">
        <v>100105</v>
      </c>
    </row>
    <row r="88" spans="1:11" ht="17.100000000000001" customHeight="1" x14ac:dyDescent="0.2">
      <c r="A88" s="51" t="s">
        <v>25</v>
      </c>
      <c r="B88" s="39">
        <v>92997</v>
      </c>
      <c r="C88" s="56">
        <f t="shared" si="10"/>
        <v>23870</v>
      </c>
      <c r="D88" s="39">
        <v>20172</v>
      </c>
      <c r="E88" s="39">
        <v>3698</v>
      </c>
      <c r="F88" s="57">
        <f t="shared" si="11"/>
        <v>29241</v>
      </c>
      <c r="G88" s="39">
        <v>9069</v>
      </c>
      <c r="H88" s="56">
        <f t="shared" si="12"/>
        <v>69127</v>
      </c>
      <c r="I88" s="39">
        <v>26748</v>
      </c>
      <c r="J88" s="39">
        <v>37983</v>
      </c>
      <c r="K88" s="39">
        <v>4396</v>
      </c>
    </row>
    <row r="89" spans="1:11" ht="17.100000000000001" customHeight="1" x14ac:dyDescent="0.2">
      <c r="A89" s="51" t="s">
        <v>34</v>
      </c>
      <c r="B89" s="39">
        <v>172431</v>
      </c>
      <c r="C89" s="56">
        <f t="shared" si="10"/>
        <v>55236</v>
      </c>
      <c r="D89" s="39">
        <v>50866</v>
      </c>
      <c r="E89" s="39">
        <v>4370</v>
      </c>
      <c r="F89" s="57">
        <f t="shared" si="11"/>
        <v>103862</v>
      </c>
      <c r="G89" s="39">
        <v>52996</v>
      </c>
      <c r="H89" s="56">
        <f t="shared" si="12"/>
        <v>117195</v>
      </c>
      <c r="I89" s="39">
        <v>75418</v>
      </c>
      <c r="J89" s="39">
        <v>31865</v>
      </c>
      <c r="K89" s="39">
        <v>9912</v>
      </c>
    </row>
    <row r="90" spans="1:11" ht="17.100000000000001" customHeight="1" x14ac:dyDescent="0.2">
      <c r="A90" s="51" t="s">
        <v>16</v>
      </c>
      <c r="B90" s="39">
        <v>98641</v>
      </c>
      <c r="C90" s="56">
        <f t="shared" si="10"/>
        <v>76168</v>
      </c>
      <c r="D90" s="39">
        <v>69938</v>
      </c>
      <c r="E90" s="39">
        <v>6230</v>
      </c>
      <c r="F90" s="57">
        <f t="shared" si="11"/>
        <v>93648</v>
      </c>
      <c r="G90" s="39">
        <v>23710</v>
      </c>
      <c r="H90" s="56">
        <f t="shared" si="12"/>
        <v>22473</v>
      </c>
      <c r="I90" s="39">
        <v>3304</v>
      </c>
      <c r="J90" s="39" t="s">
        <v>136</v>
      </c>
      <c r="K90" s="39">
        <v>19169</v>
      </c>
    </row>
    <row r="91" spans="1:11" ht="17.100000000000001" customHeight="1" x14ac:dyDescent="0.2">
      <c r="A91" s="51" t="s">
        <v>31</v>
      </c>
      <c r="B91" s="39">
        <v>97619</v>
      </c>
      <c r="C91" s="56">
        <f t="shared" si="10"/>
        <v>21500</v>
      </c>
      <c r="D91" s="39">
        <v>20108</v>
      </c>
      <c r="E91" s="39">
        <v>1392</v>
      </c>
      <c r="F91" s="57">
        <f t="shared" si="11"/>
        <v>27160</v>
      </c>
      <c r="G91" s="39">
        <v>7052</v>
      </c>
      <c r="H91" s="56">
        <f t="shared" si="12"/>
        <v>76119</v>
      </c>
      <c r="I91" s="39">
        <v>3884</v>
      </c>
      <c r="J91" s="39">
        <v>41949</v>
      </c>
      <c r="K91" s="39">
        <v>30286</v>
      </c>
    </row>
    <row r="92" spans="1:11" ht="17.100000000000001" customHeight="1" x14ac:dyDescent="0.2">
      <c r="A92" s="51" t="s">
        <v>27</v>
      </c>
      <c r="B92" s="39">
        <v>1053399</v>
      </c>
      <c r="C92" s="56">
        <f t="shared" si="10"/>
        <v>254691</v>
      </c>
      <c r="D92" s="39">
        <v>138774</v>
      </c>
      <c r="E92" s="39">
        <v>115917</v>
      </c>
      <c r="F92" s="57">
        <f t="shared" si="11"/>
        <v>154544</v>
      </c>
      <c r="G92" s="39">
        <v>15770</v>
      </c>
      <c r="H92" s="56">
        <f t="shared" si="12"/>
        <v>798708</v>
      </c>
      <c r="I92" s="39">
        <v>365443</v>
      </c>
      <c r="J92" s="39">
        <v>4026</v>
      </c>
      <c r="K92" s="39">
        <v>429239</v>
      </c>
    </row>
    <row r="93" spans="1:11" ht="17.100000000000001" customHeight="1" x14ac:dyDescent="0.2">
      <c r="A93" s="51" t="s">
        <v>92</v>
      </c>
      <c r="B93" s="39">
        <v>142638</v>
      </c>
      <c r="C93" s="56">
        <f t="shared" si="10"/>
        <v>41005</v>
      </c>
      <c r="D93" s="39">
        <v>35970</v>
      </c>
      <c r="E93" s="39">
        <v>5035</v>
      </c>
      <c r="F93" s="57">
        <f t="shared" si="11"/>
        <v>71425</v>
      </c>
      <c r="G93" s="39">
        <v>35455</v>
      </c>
      <c r="H93" s="56">
        <f t="shared" si="12"/>
        <v>101633</v>
      </c>
      <c r="I93" s="39">
        <v>15388</v>
      </c>
      <c r="J93" s="39">
        <v>77515</v>
      </c>
      <c r="K93" s="39">
        <v>8730</v>
      </c>
    </row>
    <row r="94" spans="1:11" ht="17.100000000000001" customHeight="1" x14ac:dyDescent="0.2">
      <c r="A94" s="51" t="s">
        <v>93</v>
      </c>
      <c r="B94" s="39">
        <v>126500</v>
      </c>
      <c r="C94" s="56">
        <f t="shared" si="10"/>
        <v>31577</v>
      </c>
      <c r="D94" s="39">
        <v>28355</v>
      </c>
      <c r="E94" s="39">
        <v>3222</v>
      </c>
      <c r="F94" s="57">
        <f t="shared" si="11"/>
        <v>52730</v>
      </c>
      <c r="G94" s="39">
        <v>24375</v>
      </c>
      <c r="H94" s="56">
        <f t="shared" si="12"/>
        <v>94923</v>
      </c>
      <c r="I94" s="39">
        <v>6177</v>
      </c>
      <c r="J94" s="39">
        <v>81332</v>
      </c>
      <c r="K94" s="39">
        <v>7414</v>
      </c>
    </row>
    <row r="95" spans="1:11" ht="17.100000000000001" customHeight="1" x14ac:dyDescent="0.2">
      <c r="A95" s="51" t="s">
        <v>20</v>
      </c>
      <c r="B95" s="39">
        <v>132265</v>
      </c>
      <c r="C95" s="56">
        <f t="shared" si="10"/>
        <v>27287</v>
      </c>
      <c r="D95" s="39">
        <v>21680</v>
      </c>
      <c r="E95" s="39">
        <v>5607</v>
      </c>
      <c r="F95" s="57">
        <f t="shared" si="11"/>
        <v>34240</v>
      </c>
      <c r="G95" s="39">
        <v>12560</v>
      </c>
      <c r="H95" s="56">
        <f t="shared" si="12"/>
        <v>104978</v>
      </c>
      <c r="I95" s="39">
        <v>12325</v>
      </c>
      <c r="J95" s="39">
        <v>9881</v>
      </c>
      <c r="K95" s="39">
        <v>82772</v>
      </c>
    </row>
    <row r="96" spans="1:11" ht="17.100000000000001" customHeight="1" x14ac:dyDescent="0.2">
      <c r="A96" s="51" t="s">
        <v>103</v>
      </c>
      <c r="B96" s="39">
        <v>192134</v>
      </c>
      <c r="C96" s="56">
        <f t="shared" si="10"/>
        <v>69127</v>
      </c>
      <c r="D96" s="39">
        <v>64530</v>
      </c>
      <c r="E96" s="39">
        <v>4597</v>
      </c>
      <c r="F96" s="57">
        <f t="shared" si="11"/>
        <v>84266</v>
      </c>
      <c r="G96" s="39">
        <v>19736</v>
      </c>
      <c r="H96" s="56">
        <f t="shared" si="12"/>
        <v>123007</v>
      </c>
      <c r="I96" s="39">
        <v>38494</v>
      </c>
      <c r="J96" s="39">
        <v>15034</v>
      </c>
      <c r="K96" s="39">
        <v>69479</v>
      </c>
    </row>
    <row r="97" spans="1:11" ht="17.100000000000001" customHeight="1" x14ac:dyDescent="0.2">
      <c r="A97" s="51" t="s">
        <v>104</v>
      </c>
      <c r="B97" s="39">
        <v>265202</v>
      </c>
      <c r="C97" s="56">
        <f t="shared" si="10"/>
        <v>75642</v>
      </c>
      <c r="D97" s="39">
        <v>27684</v>
      </c>
      <c r="E97" s="39">
        <v>47958</v>
      </c>
      <c r="F97" s="57">
        <f t="shared" si="11"/>
        <v>28831</v>
      </c>
      <c r="G97" s="39">
        <v>1147</v>
      </c>
      <c r="H97" s="56">
        <f t="shared" si="12"/>
        <v>189560</v>
      </c>
      <c r="I97" s="39">
        <v>16669</v>
      </c>
      <c r="J97" s="39">
        <v>5712</v>
      </c>
      <c r="K97" s="39">
        <v>167179</v>
      </c>
    </row>
    <row r="98" spans="1:11" ht="17.100000000000001" customHeight="1" x14ac:dyDescent="0.2">
      <c r="A98" s="51" t="s">
        <v>114</v>
      </c>
      <c r="B98" s="39">
        <v>257676</v>
      </c>
      <c r="C98" s="56">
        <f t="shared" si="10"/>
        <v>24532</v>
      </c>
      <c r="D98" s="39">
        <v>18027</v>
      </c>
      <c r="E98" s="39">
        <v>6505</v>
      </c>
      <c r="F98" s="57">
        <f t="shared" si="11"/>
        <v>21819</v>
      </c>
      <c r="G98" s="39">
        <v>3792</v>
      </c>
      <c r="H98" s="56">
        <f t="shared" si="12"/>
        <v>233144</v>
      </c>
      <c r="I98" s="39">
        <v>48612</v>
      </c>
      <c r="J98" s="39">
        <v>2096</v>
      </c>
      <c r="K98" s="39">
        <v>182436</v>
      </c>
    </row>
    <row r="99" spans="1:11" ht="17.100000000000001" customHeight="1" x14ac:dyDescent="0.2">
      <c r="A99" s="51" t="s">
        <v>19</v>
      </c>
      <c r="B99" s="39">
        <v>339731</v>
      </c>
      <c r="C99" s="56">
        <f t="shared" si="10"/>
        <v>77232</v>
      </c>
      <c r="D99" s="39">
        <v>16224</v>
      </c>
      <c r="E99" s="39">
        <v>61008</v>
      </c>
      <c r="F99" s="57">
        <f t="shared" si="11"/>
        <v>32462</v>
      </c>
      <c r="G99" s="39">
        <v>16238</v>
      </c>
      <c r="H99" s="56">
        <f t="shared" si="12"/>
        <v>262499</v>
      </c>
      <c r="I99" s="39">
        <v>33214</v>
      </c>
      <c r="J99" s="39">
        <v>4818</v>
      </c>
      <c r="K99" s="39">
        <v>224467</v>
      </c>
    </row>
    <row r="100" spans="1:11" ht="17.100000000000001" customHeight="1" x14ac:dyDescent="0.2">
      <c r="A100" s="51" t="s">
        <v>26</v>
      </c>
      <c r="B100" s="39">
        <v>758116</v>
      </c>
      <c r="C100" s="56">
        <f t="shared" si="10"/>
        <v>36749</v>
      </c>
      <c r="D100" s="39">
        <v>26960</v>
      </c>
      <c r="E100" s="39">
        <v>9789</v>
      </c>
      <c r="F100" s="57">
        <f t="shared" si="11"/>
        <v>28648</v>
      </c>
      <c r="G100" s="39">
        <v>1688</v>
      </c>
      <c r="H100" s="56">
        <f t="shared" si="12"/>
        <v>721367</v>
      </c>
      <c r="I100" s="39">
        <v>117249</v>
      </c>
      <c r="J100" s="39">
        <v>216699</v>
      </c>
      <c r="K100" s="39">
        <v>387419</v>
      </c>
    </row>
    <row r="101" spans="1:11" ht="17.100000000000001" customHeight="1" x14ac:dyDescent="0.2">
      <c r="A101" s="51" t="s">
        <v>115</v>
      </c>
      <c r="B101" s="39">
        <v>338061</v>
      </c>
      <c r="C101" s="56">
        <f t="shared" si="10"/>
        <v>26623</v>
      </c>
      <c r="D101" s="39">
        <v>14119</v>
      </c>
      <c r="E101" s="39">
        <v>12504</v>
      </c>
      <c r="F101" s="57">
        <f t="shared" si="11"/>
        <v>16179</v>
      </c>
      <c r="G101" s="39">
        <v>2060</v>
      </c>
      <c r="H101" s="56">
        <f t="shared" si="12"/>
        <v>311438</v>
      </c>
      <c r="I101" s="39">
        <v>3288</v>
      </c>
      <c r="J101" s="39">
        <v>13139</v>
      </c>
      <c r="K101" s="39">
        <v>295011</v>
      </c>
    </row>
    <row r="102" spans="1:11" ht="17.100000000000001" customHeight="1" x14ac:dyDescent="0.2">
      <c r="A102" s="51" t="s">
        <v>30</v>
      </c>
      <c r="B102" s="39">
        <v>314973</v>
      </c>
      <c r="C102" s="56">
        <f t="shared" si="10"/>
        <v>116900</v>
      </c>
      <c r="D102" s="39">
        <v>37753</v>
      </c>
      <c r="E102" s="39">
        <v>79147</v>
      </c>
      <c r="F102" s="57">
        <f t="shared" si="11"/>
        <v>40595</v>
      </c>
      <c r="G102" s="39">
        <v>2842</v>
      </c>
      <c r="H102" s="56">
        <f t="shared" si="12"/>
        <v>198073</v>
      </c>
      <c r="I102" s="39">
        <v>85891</v>
      </c>
      <c r="J102" s="39" t="s">
        <v>136</v>
      </c>
      <c r="K102" s="39">
        <v>112182</v>
      </c>
    </row>
    <row r="103" spans="1:11" ht="17.100000000000001" customHeight="1" x14ac:dyDescent="0.2">
      <c r="A103" s="51" t="s">
        <v>35</v>
      </c>
      <c r="B103" s="39">
        <v>52134</v>
      </c>
      <c r="C103" s="56">
        <f t="shared" si="10"/>
        <v>45681</v>
      </c>
      <c r="D103" s="39">
        <v>31682</v>
      </c>
      <c r="E103" s="39">
        <v>13999</v>
      </c>
      <c r="F103" s="57">
        <f t="shared" si="11"/>
        <v>49785</v>
      </c>
      <c r="G103" s="39">
        <v>18103</v>
      </c>
      <c r="H103" s="56">
        <f t="shared" si="12"/>
        <v>6453</v>
      </c>
      <c r="I103" s="39">
        <v>1010</v>
      </c>
      <c r="J103" s="39">
        <v>4418</v>
      </c>
      <c r="K103" s="39">
        <v>1025</v>
      </c>
    </row>
    <row r="104" spans="1:11" ht="17.100000000000001" customHeight="1" x14ac:dyDescent="0.2">
      <c r="A104" s="51" t="s">
        <v>24</v>
      </c>
      <c r="B104" s="39">
        <v>439423</v>
      </c>
      <c r="C104" s="56">
        <f t="shared" si="10"/>
        <v>77354</v>
      </c>
      <c r="D104" s="39">
        <v>62849</v>
      </c>
      <c r="E104" s="39">
        <v>14505</v>
      </c>
      <c r="F104" s="57">
        <f t="shared" si="11"/>
        <v>99557</v>
      </c>
      <c r="G104" s="39">
        <v>36708</v>
      </c>
      <c r="H104" s="56">
        <f t="shared" si="12"/>
        <v>362069</v>
      </c>
      <c r="I104" s="39">
        <v>17702</v>
      </c>
      <c r="J104" s="39">
        <v>332252</v>
      </c>
      <c r="K104" s="39">
        <v>12115</v>
      </c>
    </row>
    <row r="105" spans="1:11" ht="17.100000000000001" customHeight="1" x14ac:dyDescent="0.2">
      <c r="A105" s="51" t="s">
        <v>105</v>
      </c>
      <c r="B105" s="39">
        <v>162100</v>
      </c>
      <c r="C105" s="56">
        <f t="shared" si="10"/>
        <v>99196</v>
      </c>
      <c r="D105" s="39">
        <v>81182</v>
      </c>
      <c r="E105" s="39">
        <v>18014</v>
      </c>
      <c r="F105" s="57">
        <f t="shared" si="11"/>
        <v>110140</v>
      </c>
      <c r="G105" s="39">
        <v>28958</v>
      </c>
      <c r="H105" s="56">
        <f t="shared" si="12"/>
        <v>62904</v>
      </c>
      <c r="I105" s="39">
        <v>5188</v>
      </c>
      <c r="J105" s="39">
        <v>7920</v>
      </c>
      <c r="K105" s="39">
        <v>49796</v>
      </c>
    </row>
    <row r="106" spans="1:11" ht="17.100000000000001" customHeight="1" x14ac:dyDescent="0.2">
      <c r="A106" s="51" t="s">
        <v>116</v>
      </c>
      <c r="B106" s="39">
        <v>229620</v>
      </c>
      <c r="C106" s="56">
        <f t="shared" si="10"/>
        <v>23618</v>
      </c>
      <c r="D106" s="39">
        <v>21704</v>
      </c>
      <c r="E106" s="39">
        <v>1914</v>
      </c>
      <c r="F106" s="57">
        <f t="shared" si="11"/>
        <v>25637</v>
      </c>
      <c r="G106" s="39">
        <v>3933</v>
      </c>
      <c r="H106" s="56">
        <f t="shared" si="12"/>
        <v>206002</v>
      </c>
      <c r="I106" s="39">
        <v>7248</v>
      </c>
      <c r="J106" s="39">
        <v>10018</v>
      </c>
      <c r="K106" s="39">
        <v>188736</v>
      </c>
    </row>
    <row r="107" spans="1:11" ht="17.100000000000001" customHeight="1" x14ac:dyDescent="0.2">
      <c r="A107" s="51" t="s">
        <v>118</v>
      </c>
      <c r="B107" s="39">
        <v>470696</v>
      </c>
      <c r="C107" s="56">
        <f t="shared" si="10"/>
        <v>17417</v>
      </c>
      <c r="D107" s="39">
        <v>15244</v>
      </c>
      <c r="E107" s="39">
        <v>2173</v>
      </c>
      <c r="F107" s="57">
        <f t="shared" si="11"/>
        <v>17792</v>
      </c>
      <c r="G107" s="39">
        <v>2548</v>
      </c>
      <c r="H107" s="56">
        <f t="shared" si="12"/>
        <v>453279</v>
      </c>
      <c r="I107" s="39">
        <v>102</v>
      </c>
      <c r="J107" s="39">
        <v>372</v>
      </c>
      <c r="K107" s="39">
        <v>452805</v>
      </c>
    </row>
    <row r="108" spans="1:11" ht="17.100000000000001" customHeight="1" x14ac:dyDescent="0.2">
      <c r="A108" s="51" t="s">
        <v>15</v>
      </c>
      <c r="B108" s="39">
        <v>178070</v>
      </c>
      <c r="C108" s="56">
        <f t="shared" si="10"/>
        <v>52528</v>
      </c>
      <c r="D108" s="39">
        <v>26833</v>
      </c>
      <c r="E108" s="39">
        <v>25695</v>
      </c>
      <c r="F108" s="57">
        <f t="shared" si="11"/>
        <v>49585</v>
      </c>
      <c r="G108" s="39">
        <v>22752</v>
      </c>
      <c r="H108" s="56">
        <f t="shared" si="12"/>
        <v>125542</v>
      </c>
      <c r="I108" s="39">
        <v>49995</v>
      </c>
      <c r="J108" s="39">
        <v>9120</v>
      </c>
      <c r="K108" s="39">
        <v>66427</v>
      </c>
    </row>
    <row r="109" spans="1:11" ht="17.100000000000001" customHeight="1" x14ac:dyDescent="0.2">
      <c r="A109" s="51" t="s">
        <v>117</v>
      </c>
      <c r="B109" s="39">
        <v>153761</v>
      </c>
      <c r="C109" s="56">
        <f t="shared" si="10"/>
        <v>17898</v>
      </c>
      <c r="D109" s="39">
        <v>9503</v>
      </c>
      <c r="E109" s="39">
        <v>8395</v>
      </c>
      <c r="F109" s="57">
        <f t="shared" si="11"/>
        <v>12157</v>
      </c>
      <c r="G109" s="39">
        <v>2654</v>
      </c>
      <c r="H109" s="56">
        <f t="shared" si="12"/>
        <v>135863</v>
      </c>
      <c r="I109" s="39">
        <v>2293</v>
      </c>
      <c r="J109" s="39">
        <v>5084</v>
      </c>
      <c r="K109" s="39">
        <v>128486</v>
      </c>
    </row>
    <row r="110" spans="1:11" ht="17.100000000000001" customHeight="1" x14ac:dyDescent="0.2">
      <c r="A110" s="51" t="s">
        <v>14</v>
      </c>
      <c r="B110" s="39">
        <v>152761</v>
      </c>
      <c r="C110" s="56">
        <f t="shared" si="10"/>
        <v>84122</v>
      </c>
      <c r="D110" s="39">
        <v>82768</v>
      </c>
      <c r="E110" s="39">
        <v>1354</v>
      </c>
      <c r="F110" s="57">
        <f t="shared" si="11"/>
        <v>84174</v>
      </c>
      <c r="G110" s="39">
        <v>1406</v>
      </c>
      <c r="H110" s="56">
        <f t="shared" si="12"/>
        <v>68639</v>
      </c>
      <c r="I110" s="39">
        <v>22850</v>
      </c>
      <c r="J110" s="39">
        <v>548</v>
      </c>
      <c r="K110" s="39">
        <v>45241</v>
      </c>
    </row>
    <row r="111" spans="1:11" ht="17.100000000000001" customHeight="1" x14ac:dyDescent="0.2">
      <c r="A111" s="51" t="s">
        <v>119</v>
      </c>
      <c r="B111" s="39">
        <v>662000</v>
      </c>
      <c r="C111" s="56">
        <f t="shared" si="10"/>
        <v>19602</v>
      </c>
      <c r="D111" s="39">
        <v>16212</v>
      </c>
      <c r="E111" s="39">
        <v>3390</v>
      </c>
      <c r="F111" s="57">
        <f t="shared" si="11"/>
        <v>24279</v>
      </c>
      <c r="G111" s="39">
        <v>8067</v>
      </c>
      <c r="H111" s="56">
        <f t="shared" si="12"/>
        <v>642398</v>
      </c>
      <c r="I111" s="39">
        <v>44904</v>
      </c>
      <c r="J111" s="39">
        <v>2165</v>
      </c>
      <c r="K111" s="39">
        <v>595329</v>
      </c>
    </row>
    <row r="112" spans="1:11" ht="17.100000000000001" customHeight="1" x14ac:dyDescent="0.2">
      <c r="A112" s="51" t="s">
        <v>33</v>
      </c>
      <c r="B112" s="39">
        <v>137434</v>
      </c>
      <c r="C112" s="56">
        <f t="shared" si="10"/>
        <v>40551</v>
      </c>
      <c r="D112" s="39">
        <v>40505</v>
      </c>
      <c r="E112" s="39">
        <v>46</v>
      </c>
      <c r="F112" s="57">
        <f t="shared" si="11"/>
        <v>81000</v>
      </c>
      <c r="G112" s="39">
        <v>40495</v>
      </c>
      <c r="H112" s="56">
        <f t="shared" si="12"/>
        <v>96883</v>
      </c>
      <c r="I112" s="39">
        <v>37877</v>
      </c>
      <c r="J112" s="39">
        <v>44405</v>
      </c>
      <c r="K112" s="39">
        <v>14601</v>
      </c>
    </row>
    <row r="113" spans="1:11" ht="17.100000000000001" customHeight="1" x14ac:dyDescent="0.2">
      <c r="A113" s="51" t="s">
        <v>18</v>
      </c>
      <c r="B113" s="39">
        <v>148689</v>
      </c>
      <c r="C113" s="56">
        <f t="shared" si="10"/>
        <v>87046</v>
      </c>
      <c r="D113" s="39">
        <v>59156</v>
      </c>
      <c r="E113" s="39">
        <v>27890</v>
      </c>
      <c r="F113" s="57">
        <f t="shared" si="11"/>
        <v>87956</v>
      </c>
      <c r="G113" s="39">
        <v>28800</v>
      </c>
      <c r="H113" s="56">
        <f t="shared" si="12"/>
        <v>61643</v>
      </c>
      <c r="I113" s="39">
        <v>26630</v>
      </c>
      <c r="J113" s="39">
        <v>26505</v>
      </c>
      <c r="K113" s="39">
        <v>8508</v>
      </c>
    </row>
    <row r="114" spans="1:11" ht="17.100000000000001" customHeight="1" x14ac:dyDescent="0.2">
      <c r="A114" s="51" t="s">
        <v>32</v>
      </c>
      <c r="B114" s="39">
        <v>506528</v>
      </c>
      <c r="C114" s="56">
        <f t="shared" si="10"/>
        <v>97077</v>
      </c>
      <c r="D114" s="39">
        <v>85747</v>
      </c>
      <c r="E114" s="39">
        <v>11330</v>
      </c>
      <c r="F114" s="57">
        <f t="shared" si="11"/>
        <v>172078</v>
      </c>
      <c r="G114" s="39">
        <v>86331</v>
      </c>
      <c r="H114" s="56">
        <f t="shared" si="12"/>
        <v>409451</v>
      </c>
      <c r="I114" s="39">
        <v>129297</v>
      </c>
      <c r="J114" s="39">
        <v>138006</v>
      </c>
      <c r="K114" s="39">
        <v>142148</v>
      </c>
    </row>
    <row r="115" spans="1:11" ht="17.100000000000001" customHeight="1" x14ac:dyDescent="0.2">
      <c r="A115" s="51" t="s">
        <v>28</v>
      </c>
      <c r="B115" s="39">
        <v>165599</v>
      </c>
      <c r="C115" s="56">
        <f t="shared" si="10"/>
        <v>33606</v>
      </c>
      <c r="D115" s="39">
        <v>19076</v>
      </c>
      <c r="E115" s="39">
        <v>14530</v>
      </c>
      <c r="F115" s="57">
        <f t="shared" si="11"/>
        <v>19421</v>
      </c>
      <c r="G115" s="39">
        <v>345</v>
      </c>
      <c r="H115" s="56">
        <f t="shared" si="12"/>
        <v>131993</v>
      </c>
      <c r="I115" s="39">
        <v>79213</v>
      </c>
      <c r="J115" s="39">
        <v>31325</v>
      </c>
      <c r="K115" s="39">
        <v>21455</v>
      </c>
    </row>
    <row r="116" spans="1:11" ht="17.100000000000001" customHeight="1" x14ac:dyDescent="0.2">
      <c r="A116" s="51" t="s">
        <v>94</v>
      </c>
      <c r="B116" s="39" t="s">
        <v>136</v>
      </c>
      <c r="C116" s="50" t="s">
        <v>136</v>
      </c>
      <c r="D116" s="39" t="s">
        <v>136</v>
      </c>
      <c r="E116" s="39" t="s">
        <v>136</v>
      </c>
      <c r="F116" s="39" t="s">
        <v>136</v>
      </c>
      <c r="G116" s="39" t="s">
        <v>136</v>
      </c>
      <c r="H116" s="39" t="s">
        <v>136</v>
      </c>
      <c r="I116" s="39" t="s">
        <v>136</v>
      </c>
      <c r="J116" s="39" t="s">
        <v>136</v>
      </c>
      <c r="K116" s="39" t="s">
        <v>136</v>
      </c>
    </row>
    <row r="117" spans="1:11" ht="3" customHeight="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s="26" customFormat="1" ht="13.15" customHeight="1" x14ac:dyDescent="0.2">
      <c r="A118" s="28"/>
      <c r="B118" s="29"/>
      <c r="C118" s="29"/>
      <c r="E118" s="29"/>
      <c r="F118" s="29"/>
      <c r="G118" s="29"/>
      <c r="H118" s="29"/>
      <c r="I118" s="29"/>
      <c r="J118" s="29"/>
      <c r="K118" s="20" t="s">
        <v>132</v>
      </c>
    </row>
    <row r="119" spans="1:11" x14ac:dyDescent="0.2">
      <c r="I119" s="7"/>
    </row>
    <row r="120" spans="1:11" x14ac:dyDescent="0.2">
      <c r="I120" s="7"/>
    </row>
  </sheetData>
  <sortState ref="A82:K113">
    <sortCondition ref="A82:A113"/>
  </sortState>
  <mergeCells count="22">
    <mergeCell ref="A79:K79"/>
    <mergeCell ref="J80:K80"/>
    <mergeCell ref="A40:K40"/>
    <mergeCell ref="F3:G3"/>
    <mergeCell ref="H3:K3"/>
    <mergeCell ref="A39:K39"/>
    <mergeCell ref="J41:K41"/>
    <mergeCell ref="A42:A43"/>
    <mergeCell ref="B42:B43"/>
    <mergeCell ref="C42:E42"/>
    <mergeCell ref="F42:G42"/>
    <mergeCell ref="H42:K42"/>
    <mergeCell ref="A1:K1"/>
    <mergeCell ref="A3:A4"/>
    <mergeCell ref="B3:B4"/>
    <mergeCell ref="C3:E3"/>
    <mergeCell ref="J2:K2"/>
    <mergeCell ref="A81:A82"/>
    <mergeCell ref="B81:B82"/>
    <mergeCell ref="C81:E81"/>
    <mergeCell ref="F81:G81"/>
    <mergeCell ref="H81:K81"/>
  </mergeCells>
  <phoneticPr fontId="0" type="noConversion"/>
  <printOptions horizontalCentered="1"/>
  <pageMargins left="0.6692913385826772" right="0.43307086614173229" top="0.98425196850393704" bottom="0.70866141732283472" header="0.51181102362204722" footer="0.51181102362204722"/>
  <pageSetup paperSize="9" firstPageNumber="49" orientation="portrait" r:id="rId1"/>
  <headerFooter alignWithMargins="0">
    <oddHeader>&amp;C&amp;P</oddHeader>
  </headerFooter>
  <rowBreaks count="2" manualBreakCount="2">
    <brk id="39" max="10" man="1"/>
    <brk id="7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8"/>
  <sheetViews>
    <sheetView view="pageBreakPreview" zoomScaleSheetLayoutView="100" workbookViewId="0">
      <selection activeCell="A2" sqref="A2"/>
    </sheetView>
  </sheetViews>
  <sheetFormatPr defaultRowHeight="12.75" x14ac:dyDescent="0.2"/>
  <cols>
    <col min="1" max="1" width="29.85546875" customWidth="1"/>
    <col min="2" max="2" width="25.5703125" customWidth="1"/>
    <col min="3" max="3" width="31" customWidth="1"/>
    <col min="4" max="4" width="13.85546875" bestFit="1" customWidth="1"/>
  </cols>
  <sheetData>
    <row r="1" spans="1:5" s="24" customFormat="1" ht="60" customHeight="1" x14ac:dyDescent="0.25">
      <c r="A1" s="124" t="s">
        <v>196</v>
      </c>
      <c r="B1" s="124"/>
      <c r="C1" s="124"/>
    </row>
    <row r="2" spans="1:5" s="13" customFormat="1" ht="12.75" customHeight="1" x14ac:dyDescent="0.2">
      <c r="A2" s="13" t="s">
        <v>108</v>
      </c>
      <c r="C2" s="9" t="s">
        <v>38</v>
      </c>
    </row>
    <row r="3" spans="1:5" s="21" customFormat="1" ht="25.5" customHeight="1" x14ac:dyDescent="0.2">
      <c r="A3" s="79" t="s">
        <v>37</v>
      </c>
      <c r="B3" s="79" t="s">
        <v>100</v>
      </c>
      <c r="C3" s="79" t="s">
        <v>128</v>
      </c>
    </row>
    <row r="4" spans="1:5" s="21" customFormat="1" ht="25.5" customHeight="1" x14ac:dyDescent="0.2">
      <c r="A4" s="120" t="s">
        <v>112</v>
      </c>
      <c r="B4" s="53">
        <v>101.33</v>
      </c>
      <c r="C4" s="53">
        <v>58.15</v>
      </c>
      <c r="D4" s="86"/>
    </row>
    <row r="5" spans="1:5" s="21" customFormat="1" ht="25.5" customHeight="1" x14ac:dyDescent="0.2">
      <c r="A5" s="120" t="s">
        <v>121</v>
      </c>
      <c r="B5" s="53">
        <f>1862532/1872695*100</f>
        <v>99.457306181732747</v>
      </c>
      <c r="C5" s="122">
        <v>58.68</v>
      </c>
      <c r="D5" s="32"/>
      <c r="E5" s="86"/>
    </row>
    <row r="6" spans="1:5" s="21" customFormat="1" ht="25.5" customHeight="1" x14ac:dyDescent="0.2">
      <c r="A6" s="120" t="s">
        <v>134</v>
      </c>
      <c r="B6" s="53">
        <v>97.62</v>
      </c>
      <c r="C6" s="53">
        <v>58.78</v>
      </c>
      <c r="D6" s="86"/>
    </row>
    <row r="7" spans="1:5" x14ac:dyDescent="0.2">
      <c r="D7" s="32"/>
    </row>
    <row r="8" spans="1:5" x14ac:dyDescent="0.2">
      <c r="B8" s="9"/>
      <c r="C8" s="11" t="s">
        <v>127</v>
      </c>
    </row>
  </sheetData>
  <mergeCells count="1">
    <mergeCell ref="A1:C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9"/>
  <sheetViews>
    <sheetView view="pageBreakPreview" zoomScaleSheetLayoutView="100" workbookViewId="0">
      <selection sqref="A1:G1"/>
    </sheetView>
  </sheetViews>
  <sheetFormatPr defaultColWidth="9.140625" defaultRowHeight="12.75" x14ac:dyDescent="0.2"/>
  <cols>
    <col min="1" max="1" width="13.42578125" style="15" bestFit="1" customWidth="1"/>
    <col min="2" max="7" width="12.28515625" style="15" customWidth="1"/>
    <col min="8" max="16384" width="9.140625" style="15"/>
  </cols>
  <sheetData>
    <row r="1" spans="1:7" s="24" customFormat="1" ht="60" customHeight="1" x14ac:dyDescent="0.25">
      <c r="A1" s="124" t="s">
        <v>198</v>
      </c>
      <c r="B1" s="124"/>
      <c r="C1" s="124"/>
      <c r="D1" s="124"/>
      <c r="E1" s="124"/>
      <c r="F1" s="124"/>
      <c r="G1" s="124"/>
    </row>
    <row r="2" spans="1:7" s="13" customFormat="1" ht="12.75" customHeight="1" x14ac:dyDescent="0.2">
      <c r="A2" s="13" t="s">
        <v>109</v>
      </c>
      <c r="G2" s="9" t="s">
        <v>38</v>
      </c>
    </row>
    <row r="3" spans="1:7" s="19" customFormat="1" ht="20.100000000000001" customHeight="1" x14ac:dyDescent="0.2">
      <c r="A3" s="130" t="s">
        <v>98</v>
      </c>
      <c r="B3" s="131" t="s">
        <v>99</v>
      </c>
      <c r="C3" s="131"/>
      <c r="D3" s="131"/>
      <c r="E3" s="131" t="s">
        <v>100</v>
      </c>
      <c r="F3" s="131"/>
      <c r="G3" s="131"/>
    </row>
    <row r="4" spans="1:7" s="19" customFormat="1" ht="20.100000000000001" customHeight="1" x14ac:dyDescent="0.2">
      <c r="A4" s="130"/>
      <c r="B4" s="40" t="s">
        <v>112</v>
      </c>
      <c r="C4" s="40" t="s">
        <v>121</v>
      </c>
      <c r="D4" s="40" t="s">
        <v>134</v>
      </c>
      <c r="E4" s="40" t="s">
        <v>112</v>
      </c>
      <c r="F4" s="40" t="s">
        <v>121</v>
      </c>
      <c r="G4" s="44" t="s">
        <v>134</v>
      </c>
    </row>
    <row r="5" spans="1:7" s="19" customFormat="1" ht="25.5" customHeight="1" x14ac:dyDescent="0.2">
      <c r="A5" s="16" t="s">
        <v>90</v>
      </c>
      <c r="B5" s="35">
        <v>58.15</v>
      </c>
      <c r="C5" s="35">
        <v>58.683888006763695</v>
      </c>
      <c r="D5" s="35">
        <v>58.78</v>
      </c>
      <c r="E5" s="35">
        <v>101.33</v>
      </c>
      <c r="F5" s="35">
        <v>99.457306181732747</v>
      </c>
      <c r="G5" s="35">
        <v>97.62</v>
      </c>
    </row>
    <row r="6" spans="1:7" s="19" customFormat="1" ht="17.45" customHeight="1" x14ac:dyDescent="0.2">
      <c r="A6" s="17" t="s">
        <v>22</v>
      </c>
      <c r="B6" s="36">
        <f>47214/67714*100</f>
        <v>69.725610656585047</v>
      </c>
      <c r="C6" s="36">
        <v>69.725610656585047</v>
      </c>
      <c r="D6" s="36">
        <v>69.73</v>
      </c>
      <c r="E6" s="36">
        <v>123.93781505485661</v>
      </c>
      <c r="F6" s="36">
        <v>123.93781505485661</v>
      </c>
      <c r="G6" s="36">
        <v>123.93</v>
      </c>
    </row>
    <row r="7" spans="1:7" s="19" customFormat="1" ht="17.45" customHeight="1" x14ac:dyDescent="0.2">
      <c r="A7" s="17" t="s">
        <v>120</v>
      </c>
      <c r="B7" s="23">
        <f>77062/89208*100</f>
        <v>86.384629181239347</v>
      </c>
      <c r="C7" s="36">
        <v>88.470669189747113</v>
      </c>
      <c r="D7" s="36">
        <v>88.53</v>
      </c>
      <c r="E7" s="36">
        <v>90.667704886120305</v>
      </c>
      <c r="F7" s="36">
        <v>89.886183920562075</v>
      </c>
      <c r="G7" s="36">
        <v>90.08</v>
      </c>
    </row>
    <row r="8" spans="1:7" s="19" customFormat="1" ht="17.45" customHeight="1" x14ac:dyDescent="0.2">
      <c r="A8" s="17" t="s">
        <v>29</v>
      </c>
      <c r="B8" s="36">
        <f>97275/105864*100</f>
        <v>91.886760371797777</v>
      </c>
      <c r="C8" s="36">
        <v>91.906138411834732</v>
      </c>
      <c r="D8" s="36">
        <v>91.95</v>
      </c>
      <c r="E8" s="36">
        <v>42.876987189381076</v>
      </c>
      <c r="F8" s="36">
        <v>50.544763079453183</v>
      </c>
      <c r="G8" s="36">
        <v>51.12</v>
      </c>
    </row>
    <row r="9" spans="1:7" s="19" customFormat="1" ht="17.45" customHeight="1" x14ac:dyDescent="0.2">
      <c r="A9" s="17" t="s">
        <v>25</v>
      </c>
      <c r="B9" s="36">
        <f>24173/50921*100</f>
        <v>47.47157361402958</v>
      </c>
      <c r="C9" s="36">
        <v>47.157137777075349</v>
      </c>
      <c r="D9" s="36">
        <v>47.16</v>
      </c>
      <c r="E9" s="36">
        <v>113.89153187440533</v>
      </c>
      <c r="F9" s="36">
        <v>122.50104733975702</v>
      </c>
      <c r="G9" s="36">
        <v>122.5</v>
      </c>
    </row>
    <row r="10" spans="1:7" s="19" customFormat="1" ht="17.45" customHeight="1" x14ac:dyDescent="0.2">
      <c r="A10" s="17" t="s">
        <v>34</v>
      </c>
      <c r="B10" s="36">
        <f>55401/130831*100</f>
        <v>42.345468581605274</v>
      </c>
      <c r="C10" s="36">
        <v>42.346267926489922</v>
      </c>
      <c r="D10" s="36">
        <v>42.28</v>
      </c>
      <c r="E10" s="36">
        <v>186.93383879411499</v>
      </c>
      <c r="F10" s="36">
        <v>187.99328447124236</v>
      </c>
      <c r="G10" s="36">
        <v>188.03</v>
      </c>
    </row>
    <row r="11" spans="1:7" s="19" customFormat="1" ht="17.45" customHeight="1" x14ac:dyDescent="0.2">
      <c r="A11" s="17" t="s">
        <v>16</v>
      </c>
      <c r="B11" s="36">
        <f>73319/79493*100</f>
        <v>92.233278401871871</v>
      </c>
      <c r="C11" s="36">
        <v>92.233278401871871</v>
      </c>
      <c r="D11" s="36">
        <v>95.84</v>
      </c>
      <c r="E11" s="36">
        <v>131.81849179612379</v>
      </c>
      <c r="F11" s="36">
        <v>145.31158362770907</v>
      </c>
      <c r="G11" s="36">
        <v>122.95</v>
      </c>
    </row>
    <row r="12" spans="1:7" s="19" customFormat="1" ht="17.45" customHeight="1" x14ac:dyDescent="0.2">
      <c r="A12" s="17" t="s">
        <v>31</v>
      </c>
      <c r="B12" s="36">
        <f>21500/25384*100</f>
        <v>84.699023006618347</v>
      </c>
      <c r="C12" s="36">
        <v>84.699023006618347</v>
      </c>
      <c r="D12" s="36">
        <v>84.7</v>
      </c>
      <c r="E12" s="36">
        <v>126.75813953488372</v>
      </c>
      <c r="F12" s="36">
        <v>127.18604651162791</v>
      </c>
      <c r="G12" s="36">
        <v>126.33</v>
      </c>
    </row>
    <row r="13" spans="1:7" s="19" customFormat="1" ht="17.45" customHeight="1" x14ac:dyDescent="0.2">
      <c r="A13" s="17" t="s">
        <v>27</v>
      </c>
      <c r="B13" s="36">
        <f>582288/620148*100</f>
        <v>93.895005708314798</v>
      </c>
      <c r="C13" s="36">
        <v>41.069389887575227</v>
      </c>
      <c r="D13" s="36">
        <v>41.07</v>
      </c>
      <c r="E13" s="36">
        <v>61.5845970754239</v>
      </c>
      <c r="F13" s="36">
        <v>60.656246196371285</v>
      </c>
      <c r="G13" s="36">
        <v>60.68</v>
      </c>
    </row>
    <row r="14" spans="1:7" s="19" customFormat="1" ht="17.45" customHeight="1" x14ac:dyDescent="0.2">
      <c r="A14" s="6" t="s">
        <v>92</v>
      </c>
      <c r="B14" s="36">
        <f>41019/56351*100</f>
        <v>72.791964650139306</v>
      </c>
      <c r="C14" s="36">
        <v>72.711152093344921</v>
      </c>
      <c r="D14" s="36">
        <v>72.709999999999994</v>
      </c>
      <c r="E14" s="36">
        <v>174.44883426007218</v>
      </c>
      <c r="F14" s="36">
        <v>174.44883426007218</v>
      </c>
      <c r="G14" s="36">
        <v>174.19</v>
      </c>
    </row>
    <row r="15" spans="1:7" s="19" customFormat="1" ht="17.45" customHeight="1" x14ac:dyDescent="0.2">
      <c r="A15" s="6" t="s">
        <v>93</v>
      </c>
      <c r="B15" s="36">
        <f>31572/37749*100</f>
        <v>83.636652626559652</v>
      </c>
      <c r="C15" s="36">
        <v>83.636652626559652</v>
      </c>
      <c r="D15" s="36">
        <v>83.64</v>
      </c>
      <c r="E15" s="36">
        <v>166.99607246927656</v>
      </c>
      <c r="F15" s="36">
        <v>166.98340301533003</v>
      </c>
      <c r="G15" s="36">
        <v>166.99</v>
      </c>
    </row>
    <row r="16" spans="1:7" s="19" customFormat="1" ht="17.45" customHeight="1" x14ac:dyDescent="0.2">
      <c r="A16" s="17" t="s">
        <v>20</v>
      </c>
      <c r="B16" s="36">
        <f>27228/39613*100</f>
        <v>68.73501123368591</v>
      </c>
      <c r="C16" s="36">
        <v>68.885691204685457</v>
      </c>
      <c r="D16" s="36">
        <v>68.89</v>
      </c>
      <c r="E16" s="36">
        <v>126.39718547293583</v>
      </c>
      <c r="F16" s="36">
        <v>126.39718547293583</v>
      </c>
      <c r="G16" s="36">
        <v>125.48</v>
      </c>
    </row>
    <row r="17" spans="1:7" s="19" customFormat="1" ht="17.45" customHeight="1" x14ac:dyDescent="0.2">
      <c r="A17" s="17" t="s">
        <v>23</v>
      </c>
      <c r="B17" s="36">
        <f>68945/107658*100</f>
        <v>64.040758698842623</v>
      </c>
      <c r="C17" s="36">
        <v>64.242187790287218</v>
      </c>
      <c r="D17" s="36">
        <v>64.23</v>
      </c>
      <c r="E17" s="36">
        <v>122.30763652186525</v>
      </c>
      <c r="F17" s="36">
        <v>121.91792706556002</v>
      </c>
      <c r="G17" s="36">
        <v>121.9</v>
      </c>
    </row>
    <row r="18" spans="1:7" s="19" customFormat="1" ht="17.45" customHeight="1" x14ac:dyDescent="0.2">
      <c r="A18" s="17" t="s">
        <v>21</v>
      </c>
      <c r="B18" s="36">
        <f>75676/92345*100</f>
        <v>81.94921219340516</v>
      </c>
      <c r="C18" s="36">
        <v>81.942563724799868</v>
      </c>
      <c r="D18" s="36">
        <v>81.94</v>
      </c>
      <c r="E18" s="36">
        <v>40.792152507866</v>
      </c>
      <c r="F18" s="36">
        <v>37.114301578488138</v>
      </c>
      <c r="G18" s="36">
        <v>38.119999999999997</v>
      </c>
    </row>
    <row r="19" spans="1:7" s="19" customFormat="1" ht="17.45" customHeight="1" x14ac:dyDescent="0.2">
      <c r="A19" s="17" t="s">
        <v>114</v>
      </c>
      <c r="B19" s="23">
        <f>25138/73178*100</f>
        <v>34.351854382464673</v>
      </c>
      <c r="C19" s="36">
        <v>33.509184342882136</v>
      </c>
      <c r="D19" s="36">
        <v>33.54</v>
      </c>
      <c r="E19" s="36">
        <v>99.979468648626451</v>
      </c>
      <c r="F19" s="36">
        <v>87.127824455502079</v>
      </c>
      <c r="G19" s="36">
        <v>88.94</v>
      </c>
    </row>
    <row r="20" spans="1:7" s="19" customFormat="1" ht="17.45" customHeight="1" x14ac:dyDescent="0.2">
      <c r="A20" s="17" t="s">
        <v>19</v>
      </c>
      <c r="B20" s="36">
        <f>77198/110573*100</f>
        <v>69.81632043989039</v>
      </c>
      <c r="C20" s="36">
        <v>69.894536731091293</v>
      </c>
      <c r="D20" s="36">
        <v>69.930000000000007</v>
      </c>
      <c r="E20" s="36">
        <v>87.049437241772338</v>
      </c>
      <c r="F20" s="36">
        <v>35.412969990545143</v>
      </c>
      <c r="G20" s="36">
        <v>42.03</v>
      </c>
    </row>
    <row r="21" spans="1:7" s="19" customFormat="1" ht="17.45" customHeight="1" x14ac:dyDescent="0.2">
      <c r="A21" s="17" t="s">
        <v>26</v>
      </c>
      <c r="B21" s="36">
        <f>36749/153998*100</f>
        <v>23.863296925934101</v>
      </c>
      <c r="C21" s="36">
        <v>23.863296925934101</v>
      </c>
      <c r="D21" s="36">
        <v>23.86</v>
      </c>
      <c r="E21" s="36">
        <v>77.98579553185121</v>
      </c>
      <c r="F21" s="36">
        <v>77.95586274456447</v>
      </c>
      <c r="G21" s="36">
        <v>77.959999999999994</v>
      </c>
    </row>
    <row r="22" spans="1:7" s="19" customFormat="1" ht="17.45" customHeight="1" x14ac:dyDescent="0.2">
      <c r="A22" s="17" t="s">
        <v>115</v>
      </c>
      <c r="B22" s="23">
        <f>26482/29932*100</f>
        <v>88.473874114659907</v>
      </c>
      <c r="C22" s="36">
        <v>88.826162479957233</v>
      </c>
      <c r="D22" s="36">
        <v>89.01</v>
      </c>
      <c r="E22" s="36">
        <v>71.284358576883804</v>
      </c>
      <c r="F22" s="36">
        <v>59.369711556541681</v>
      </c>
      <c r="G22" s="36">
        <v>60.77</v>
      </c>
    </row>
    <row r="23" spans="1:7" s="19" customFormat="1" ht="17.45" customHeight="1" x14ac:dyDescent="0.2">
      <c r="A23" s="17" t="s">
        <v>30</v>
      </c>
      <c r="B23" s="36">
        <f>116900/202808*100</f>
        <v>57.640724231785732</v>
      </c>
      <c r="C23" s="36">
        <v>57.642145333155824</v>
      </c>
      <c r="D23" s="36">
        <v>57.65</v>
      </c>
      <c r="E23" s="36">
        <v>32.085543199315651</v>
      </c>
      <c r="F23" s="36">
        <v>32.776732249786143</v>
      </c>
      <c r="G23" s="36">
        <v>34.729999999999997</v>
      </c>
    </row>
    <row r="24" spans="1:7" s="19" customFormat="1" ht="17.45" customHeight="1" x14ac:dyDescent="0.2">
      <c r="A24" s="17" t="s">
        <v>35</v>
      </c>
      <c r="B24" s="36">
        <f>45681/46704*100</f>
        <v>97.809609455292915</v>
      </c>
      <c r="C24" s="36">
        <v>97.809609455292915</v>
      </c>
      <c r="D24" s="36">
        <v>97.84</v>
      </c>
      <c r="E24" s="36">
        <v>109.46783126463957</v>
      </c>
      <c r="F24" s="36">
        <v>108.83518311770759</v>
      </c>
      <c r="G24" s="36">
        <v>108.98</v>
      </c>
    </row>
    <row r="25" spans="1:7" s="19" customFormat="1" ht="17.45" customHeight="1" x14ac:dyDescent="0.2">
      <c r="A25" s="17" t="s">
        <v>24</v>
      </c>
      <c r="B25" s="36">
        <f>80747/98449*100</f>
        <v>82.019116496866388</v>
      </c>
      <c r="C25" s="36">
        <v>81.377293384952026</v>
      </c>
      <c r="D25" s="36">
        <v>81.38</v>
      </c>
      <c r="E25" s="36">
        <v>127.24435582746108</v>
      </c>
      <c r="F25" s="36">
        <v>128.70310520464358</v>
      </c>
      <c r="G25" s="36">
        <v>128.69999999999999</v>
      </c>
    </row>
    <row r="26" spans="1:7" s="19" customFormat="1" ht="17.45" customHeight="1" x14ac:dyDescent="0.2">
      <c r="A26" s="17" t="s">
        <v>17</v>
      </c>
      <c r="B26" s="36">
        <f>99576/104764*100</f>
        <v>95.047917223473704</v>
      </c>
      <c r="C26" s="36">
        <v>95.029889638258737</v>
      </c>
      <c r="D26" s="36">
        <v>95.03</v>
      </c>
      <c r="E26" s="36">
        <v>115.52268106288999</v>
      </c>
      <c r="F26" s="36">
        <v>110.56494213476348</v>
      </c>
      <c r="G26" s="36">
        <v>111.03</v>
      </c>
    </row>
    <row r="27" spans="1:7" s="19" customFormat="1" ht="17.45" customHeight="1" x14ac:dyDescent="0.2">
      <c r="A27" s="17" t="s">
        <v>116</v>
      </c>
      <c r="B27" s="23">
        <f>23514/30884*100</f>
        <v>76.136510814661321</v>
      </c>
      <c r="C27" s="36">
        <v>76.427923844061652</v>
      </c>
      <c r="D27" s="36">
        <v>76.52</v>
      </c>
      <c r="E27" s="36">
        <v>117.10895636642</v>
      </c>
      <c r="F27" s="36">
        <v>107.89273004575494</v>
      </c>
      <c r="G27" s="36">
        <v>108.55</v>
      </c>
    </row>
    <row r="28" spans="1:7" s="19" customFormat="1" ht="17.45" customHeight="1" x14ac:dyDescent="0.2">
      <c r="A28" s="17" t="s">
        <v>118</v>
      </c>
      <c r="B28" s="23">
        <f>17425/17535*100</f>
        <v>99.372683205018532</v>
      </c>
      <c r="C28" s="36">
        <v>99.372683205018532</v>
      </c>
      <c r="D28" s="36">
        <v>99.42</v>
      </c>
      <c r="E28" s="36">
        <v>88.06312769010043</v>
      </c>
      <c r="F28" s="36">
        <v>101.40602582496415</v>
      </c>
      <c r="G28" s="36">
        <v>102.15</v>
      </c>
    </row>
    <row r="29" spans="1:7" s="19" customFormat="1" ht="17.45" customHeight="1" x14ac:dyDescent="0.2">
      <c r="A29" s="17" t="s">
        <v>101</v>
      </c>
      <c r="B29" s="36">
        <f>52528/102523*100</f>
        <v>51.235332559523229</v>
      </c>
      <c r="C29" s="36">
        <v>51.235332559523229</v>
      </c>
      <c r="D29" s="36">
        <v>51.24</v>
      </c>
      <c r="E29" s="36">
        <v>116.18565336582394</v>
      </c>
      <c r="F29" s="36">
        <v>94.397273834907097</v>
      </c>
      <c r="G29" s="36">
        <v>94.4</v>
      </c>
    </row>
    <row r="30" spans="1:7" s="19" customFormat="1" ht="17.45" customHeight="1" x14ac:dyDescent="0.2">
      <c r="A30" s="17" t="s">
        <v>117</v>
      </c>
      <c r="B30" s="23">
        <f>18060/20984*100</f>
        <v>86.065573770491795</v>
      </c>
      <c r="C30" s="36">
        <v>88.397407352431841</v>
      </c>
      <c r="D30" s="36">
        <v>88.64</v>
      </c>
      <c r="E30" s="36">
        <v>68.074984425440334</v>
      </c>
      <c r="F30" s="36">
        <v>67.312213142281436</v>
      </c>
      <c r="G30" s="36">
        <v>67.92</v>
      </c>
    </row>
    <row r="31" spans="1:7" s="19" customFormat="1" ht="17.45" customHeight="1" x14ac:dyDescent="0.2">
      <c r="A31" s="17" t="s">
        <v>14</v>
      </c>
      <c r="B31" s="36">
        <f>83724/106525*100</f>
        <v>78.595634827505279</v>
      </c>
      <c r="C31" s="36">
        <v>78.624705574456939</v>
      </c>
      <c r="D31" s="36">
        <v>78.64</v>
      </c>
      <c r="E31" s="36">
        <v>97.4014699236496</v>
      </c>
      <c r="F31" s="36">
        <v>100.4541185701209</v>
      </c>
      <c r="G31" s="36">
        <v>100.06</v>
      </c>
    </row>
    <row r="32" spans="1:7" s="19" customFormat="1" ht="17.45" customHeight="1" x14ac:dyDescent="0.2">
      <c r="A32" s="17" t="s">
        <v>119</v>
      </c>
      <c r="B32" s="23">
        <f>19580/64530*100</f>
        <v>30.342476367580971</v>
      </c>
      <c r="C32" s="36">
        <v>30.342476367580971</v>
      </c>
      <c r="D32" s="36">
        <v>30.39</v>
      </c>
      <c r="E32" s="36">
        <v>112.8140960163432</v>
      </c>
      <c r="F32" s="36">
        <v>124.13687436159347</v>
      </c>
      <c r="G32" s="36">
        <v>123.86</v>
      </c>
    </row>
    <row r="33" spans="1:7" s="19" customFormat="1" ht="17.45" customHeight="1" x14ac:dyDescent="0.2">
      <c r="A33" s="17" t="s">
        <v>33</v>
      </c>
      <c r="B33" s="36">
        <f>40562/82996*100</f>
        <v>48.872234806496699</v>
      </c>
      <c r="C33" s="36">
        <v>51.712136664966856</v>
      </c>
      <c r="D33" s="36">
        <v>51.7</v>
      </c>
      <c r="E33" s="36">
        <v>194.51717082069865</v>
      </c>
      <c r="F33" s="36">
        <v>260.13608460912656</v>
      </c>
      <c r="G33" s="36">
        <v>199.75</v>
      </c>
    </row>
    <row r="34" spans="1:7" s="19" customFormat="1" ht="17.45" customHeight="1" x14ac:dyDescent="0.2">
      <c r="A34" s="17" t="s">
        <v>18</v>
      </c>
      <c r="B34" s="36">
        <f>87046/113676*100</f>
        <v>76.573771068651254</v>
      </c>
      <c r="C34" s="36">
        <v>76.573771068651254</v>
      </c>
      <c r="D34" s="36">
        <v>76.569999999999993</v>
      </c>
      <c r="E34" s="36">
        <v>102.44123796613285</v>
      </c>
      <c r="F34" s="36">
        <v>101.04542425843808</v>
      </c>
      <c r="G34" s="36">
        <v>101.05</v>
      </c>
    </row>
    <row r="35" spans="1:7" s="19" customFormat="1" ht="17.45" customHeight="1" x14ac:dyDescent="0.2">
      <c r="A35" s="17" t="s">
        <v>32</v>
      </c>
      <c r="B35" s="36">
        <f>97261/226588*100</f>
        <v>42.924161915017564</v>
      </c>
      <c r="C35" s="36">
        <v>42.93580659713929</v>
      </c>
      <c r="D35" s="36">
        <v>42.88</v>
      </c>
      <c r="E35" s="36">
        <v>185.20049352251698</v>
      </c>
      <c r="F35" s="36">
        <v>181.05627491578849</v>
      </c>
      <c r="G35" s="36">
        <v>177.26</v>
      </c>
    </row>
    <row r="36" spans="1:7" s="19" customFormat="1" ht="17.45" customHeight="1" x14ac:dyDescent="0.2">
      <c r="A36" s="17" t="s">
        <v>28</v>
      </c>
      <c r="B36" s="36">
        <f>27770/113038*100</f>
        <v>24.56695978343566</v>
      </c>
      <c r="C36" s="36">
        <v>29.787535787411695</v>
      </c>
      <c r="D36" s="36">
        <v>29.79</v>
      </c>
      <c r="E36" s="36">
        <v>91.017363505296814</v>
      </c>
      <c r="F36" s="36">
        <v>57.790275546033442</v>
      </c>
      <c r="G36" s="36">
        <v>57.79</v>
      </c>
    </row>
    <row r="37" spans="1:7" s="19" customFormat="1" ht="17.45" customHeight="1" x14ac:dyDescent="0.2">
      <c r="A37" s="17" t="s">
        <v>94</v>
      </c>
      <c r="B37" s="52" t="s">
        <v>136</v>
      </c>
      <c r="C37" s="52" t="s">
        <v>136</v>
      </c>
      <c r="D37" s="53" t="s">
        <v>136</v>
      </c>
      <c r="E37" s="52" t="s">
        <v>136</v>
      </c>
      <c r="F37" s="52" t="s">
        <v>136</v>
      </c>
      <c r="G37" s="53" t="s">
        <v>136</v>
      </c>
    </row>
    <row r="38" spans="1:7" ht="9" customHeight="1" x14ac:dyDescent="0.2">
      <c r="A38" s="129"/>
      <c r="B38" s="129"/>
      <c r="C38" s="129"/>
      <c r="D38" s="129"/>
      <c r="E38" s="129"/>
      <c r="F38" s="129"/>
      <c r="G38" s="129"/>
    </row>
    <row r="39" spans="1:7" s="13" customFormat="1" ht="12" x14ac:dyDescent="0.2">
      <c r="G39" s="11" t="s">
        <v>133</v>
      </c>
    </row>
  </sheetData>
  <sortState ref="A6:G37">
    <sortCondition ref="A6:A37"/>
  </sortState>
  <mergeCells count="5">
    <mergeCell ref="A1:G1"/>
    <mergeCell ref="A38:G38"/>
    <mergeCell ref="A3:A4"/>
    <mergeCell ref="B3:D3"/>
    <mergeCell ref="E3:G3"/>
  </mergeCells>
  <printOptions horizontalCentered="1"/>
  <pageMargins left="0.74803149606299202" right="0.74803149606299202" top="0.98425196850393704" bottom="0.98425196850393704" header="0.511811023622047" footer="0.511811023622047"/>
  <pageSetup paperSize="9" scale="91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9"/>
  <sheetViews>
    <sheetView view="pageBreakPreview" zoomScaleSheetLayoutView="100" workbookViewId="0">
      <selection sqref="A1:N1"/>
    </sheetView>
  </sheetViews>
  <sheetFormatPr defaultRowHeight="12.75" x14ac:dyDescent="0.2"/>
  <cols>
    <col min="1" max="1" width="11.42578125" style="58" customWidth="1"/>
    <col min="2" max="2" width="7.85546875" style="58" bestFit="1" customWidth="1"/>
    <col min="3" max="3" width="4.42578125" style="58" customWidth="1"/>
    <col min="4" max="4" width="7.85546875" style="58" bestFit="1" customWidth="1"/>
    <col min="5" max="5" width="6.28515625" style="58" customWidth="1"/>
    <col min="6" max="8" width="6.7109375" style="58" customWidth="1"/>
    <col min="9" max="10" width="6.5703125" style="58" bestFit="1" customWidth="1"/>
    <col min="11" max="12" width="6" style="58" bestFit="1" customWidth="1"/>
    <col min="13" max="13" width="6.5703125" style="58" customWidth="1"/>
    <col min="14" max="14" width="5.7109375" style="58" customWidth="1"/>
    <col min="15" max="16384" width="9.140625" style="58"/>
  </cols>
  <sheetData>
    <row r="1" spans="1:14" s="75" customFormat="1" ht="60" customHeight="1" x14ac:dyDescent="0.25">
      <c r="A1" s="132" t="s">
        <v>199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59" customFormat="1" ht="12" x14ac:dyDescent="0.2">
      <c r="A2" s="73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</row>
    <row r="3" spans="1:14" ht="58.5" customHeight="1" x14ac:dyDescent="0.2">
      <c r="A3" s="87" t="s">
        <v>9</v>
      </c>
      <c r="B3" s="88" t="s">
        <v>39</v>
      </c>
      <c r="C3" s="88" t="s">
        <v>194</v>
      </c>
      <c r="D3" s="88" t="s">
        <v>41</v>
      </c>
      <c r="E3" s="88" t="s">
        <v>40</v>
      </c>
      <c r="F3" s="88" t="s">
        <v>77</v>
      </c>
      <c r="G3" s="88" t="s">
        <v>78</v>
      </c>
      <c r="H3" s="88" t="s">
        <v>79</v>
      </c>
      <c r="I3" s="88" t="s">
        <v>80</v>
      </c>
      <c r="J3" s="88" t="s">
        <v>81</v>
      </c>
      <c r="K3" s="88" t="s">
        <v>82</v>
      </c>
      <c r="L3" s="88" t="s">
        <v>83</v>
      </c>
      <c r="M3" s="88" t="s">
        <v>84</v>
      </c>
      <c r="N3" s="88" t="s">
        <v>193</v>
      </c>
    </row>
    <row r="4" spans="1:14" ht="25.5" customHeight="1" x14ac:dyDescent="0.2">
      <c r="A4" s="89" t="s">
        <v>90</v>
      </c>
      <c r="B4" s="90">
        <f t="shared" ref="B4:N4" si="0">SUM(B5:B36)</f>
        <v>1541845</v>
      </c>
      <c r="C4" s="91" t="s">
        <v>136</v>
      </c>
      <c r="D4" s="90">
        <f t="shared" si="0"/>
        <v>1541845</v>
      </c>
      <c r="E4" s="90">
        <f t="shared" si="0"/>
        <v>476330</v>
      </c>
      <c r="F4" s="90">
        <f t="shared" si="0"/>
        <v>497077</v>
      </c>
      <c r="G4" s="90">
        <f t="shared" si="0"/>
        <v>271160</v>
      </c>
      <c r="H4" s="90">
        <f t="shared" si="0"/>
        <v>129012</v>
      </c>
      <c r="I4" s="90">
        <f t="shared" si="0"/>
        <v>92929</v>
      </c>
      <c r="J4" s="90">
        <f t="shared" si="0"/>
        <v>49822</v>
      </c>
      <c r="K4" s="90">
        <f t="shared" si="0"/>
        <v>18481</v>
      </c>
      <c r="L4" s="90">
        <f t="shared" si="0"/>
        <v>5233</v>
      </c>
      <c r="M4" s="90">
        <f t="shared" si="0"/>
        <v>1037</v>
      </c>
      <c r="N4" s="90">
        <f t="shared" si="0"/>
        <v>764</v>
      </c>
    </row>
    <row r="5" spans="1:14" ht="18" customHeight="1" x14ac:dyDescent="0.2">
      <c r="A5" s="66" t="s">
        <v>22</v>
      </c>
      <c r="B5" s="65">
        <f>SUM(C5:D5)</f>
        <v>101873</v>
      </c>
      <c r="C5" s="76" t="s">
        <v>136</v>
      </c>
      <c r="D5" s="77">
        <f>SUM(E5:N5)</f>
        <v>101873</v>
      </c>
      <c r="E5" s="65">
        <v>73755</v>
      </c>
      <c r="F5" s="65">
        <v>17297</v>
      </c>
      <c r="G5" s="65">
        <v>7608</v>
      </c>
      <c r="H5" s="65">
        <v>1437</v>
      </c>
      <c r="I5" s="65">
        <v>1019</v>
      </c>
      <c r="J5" s="65">
        <v>347</v>
      </c>
      <c r="K5" s="65">
        <v>410</v>
      </c>
      <c r="L5" s="65" t="s">
        <v>136</v>
      </c>
      <c r="M5" s="65" t="s">
        <v>136</v>
      </c>
      <c r="N5" s="65" t="s">
        <v>136</v>
      </c>
    </row>
    <row r="6" spans="1:14" ht="18" customHeight="1" x14ac:dyDescent="0.2">
      <c r="A6" s="68" t="s">
        <v>120</v>
      </c>
      <c r="B6" s="65">
        <f t="shared" ref="B6:B36" si="1">SUM(C6:D6)</f>
        <v>29045</v>
      </c>
      <c r="C6" s="76" t="s">
        <v>136</v>
      </c>
      <c r="D6" s="77">
        <f t="shared" ref="D6:D36" si="2">SUM(E6:N6)</f>
        <v>29045</v>
      </c>
      <c r="E6" s="65">
        <v>4145</v>
      </c>
      <c r="F6" s="65">
        <v>11648</v>
      </c>
      <c r="G6" s="65">
        <v>6160</v>
      </c>
      <c r="H6" s="65">
        <v>3098</v>
      </c>
      <c r="I6" s="65">
        <v>1750</v>
      </c>
      <c r="J6" s="65">
        <v>835</v>
      </c>
      <c r="K6" s="65">
        <v>576</v>
      </c>
      <c r="L6" s="65">
        <v>669</v>
      </c>
      <c r="M6" s="65">
        <v>146</v>
      </c>
      <c r="N6" s="69">
        <v>18</v>
      </c>
    </row>
    <row r="7" spans="1:14" ht="18" customHeight="1" x14ac:dyDescent="0.2">
      <c r="A7" s="66" t="s">
        <v>29</v>
      </c>
      <c r="B7" s="65">
        <f t="shared" si="1"/>
        <v>56946</v>
      </c>
      <c r="C7" s="76" t="s">
        <v>136</v>
      </c>
      <c r="D7" s="77">
        <f t="shared" si="2"/>
        <v>56946</v>
      </c>
      <c r="E7" s="65">
        <f>14532+667</f>
        <v>15199</v>
      </c>
      <c r="F7" s="65">
        <f>12718+2753</f>
        <v>15471</v>
      </c>
      <c r="G7" s="65">
        <f>7602+3328</f>
        <v>10930</v>
      </c>
      <c r="H7" s="65">
        <f>3078+2728</f>
        <v>5806</v>
      </c>
      <c r="I7" s="65">
        <f>1859+2616</f>
        <v>4475</v>
      </c>
      <c r="J7" s="65">
        <f>1196+1596</f>
        <v>2792</v>
      </c>
      <c r="K7" s="65">
        <f>1608+531</f>
        <v>2139</v>
      </c>
      <c r="L7" s="65">
        <f>68+66</f>
        <v>134</v>
      </c>
      <c r="M7" s="65">
        <f>0</f>
        <v>0</v>
      </c>
      <c r="N7" s="69" t="s">
        <v>136</v>
      </c>
    </row>
    <row r="8" spans="1:14" ht="18" customHeight="1" x14ac:dyDescent="0.2">
      <c r="A8" s="66" t="s">
        <v>25</v>
      </c>
      <c r="B8" s="65">
        <f t="shared" si="1"/>
        <v>42289</v>
      </c>
      <c r="C8" s="76" t="s">
        <v>136</v>
      </c>
      <c r="D8" s="77">
        <f t="shared" si="2"/>
        <v>42289</v>
      </c>
      <c r="E8" s="65">
        <v>13340</v>
      </c>
      <c r="F8" s="65">
        <v>16210</v>
      </c>
      <c r="G8" s="65">
        <v>8652</v>
      </c>
      <c r="H8" s="65">
        <v>2271</v>
      </c>
      <c r="I8" s="65">
        <v>953</v>
      </c>
      <c r="J8" s="65">
        <v>510</v>
      </c>
      <c r="K8" s="65">
        <v>254</v>
      </c>
      <c r="L8" s="65">
        <v>94</v>
      </c>
      <c r="M8" s="65">
        <v>5</v>
      </c>
      <c r="N8" s="69" t="s">
        <v>136</v>
      </c>
    </row>
    <row r="9" spans="1:14" ht="18" customHeight="1" x14ac:dyDescent="0.2">
      <c r="A9" s="66" t="s">
        <v>34</v>
      </c>
      <c r="B9" s="65">
        <f t="shared" si="1"/>
        <v>57767</v>
      </c>
      <c r="C9" s="76" t="s">
        <v>136</v>
      </c>
      <c r="D9" s="77">
        <f t="shared" si="2"/>
        <v>57767</v>
      </c>
      <c r="E9" s="65">
        <v>9235</v>
      </c>
      <c r="F9" s="65">
        <v>22023</v>
      </c>
      <c r="G9" s="65">
        <v>15927</v>
      </c>
      <c r="H9" s="65">
        <v>6307</v>
      </c>
      <c r="I9" s="65">
        <v>2717</v>
      </c>
      <c r="J9" s="65">
        <v>1355</v>
      </c>
      <c r="K9" s="65">
        <v>197</v>
      </c>
      <c r="L9" s="65">
        <v>3</v>
      </c>
      <c r="M9" s="65" t="s">
        <v>136</v>
      </c>
      <c r="N9" s="71">
        <v>3</v>
      </c>
    </row>
    <row r="10" spans="1:14" ht="18" customHeight="1" x14ac:dyDescent="0.2">
      <c r="A10" s="66" t="s">
        <v>16</v>
      </c>
      <c r="B10" s="65">
        <f t="shared" si="1"/>
        <v>67755</v>
      </c>
      <c r="C10" s="76" t="s">
        <v>136</v>
      </c>
      <c r="D10" s="77">
        <f t="shared" si="2"/>
        <v>67755</v>
      </c>
      <c r="E10" s="65">
        <v>25878</v>
      </c>
      <c r="F10" s="65">
        <v>22636</v>
      </c>
      <c r="G10" s="65">
        <v>10957</v>
      </c>
      <c r="H10" s="65">
        <v>4115</v>
      </c>
      <c r="I10" s="65">
        <v>2686</v>
      </c>
      <c r="J10" s="65">
        <v>1207</v>
      </c>
      <c r="K10" s="65">
        <v>118</v>
      </c>
      <c r="L10" s="65">
        <v>73</v>
      </c>
      <c r="M10" s="65">
        <v>6</v>
      </c>
      <c r="N10" s="69">
        <v>79</v>
      </c>
    </row>
    <row r="11" spans="1:14" ht="18" customHeight="1" x14ac:dyDescent="0.2">
      <c r="A11" s="70" t="s">
        <v>31</v>
      </c>
      <c r="B11" s="65">
        <f t="shared" si="1"/>
        <v>41285</v>
      </c>
      <c r="C11" s="76" t="s">
        <v>136</v>
      </c>
      <c r="D11" s="77">
        <f t="shared" si="2"/>
        <v>41285</v>
      </c>
      <c r="E11" s="65">
        <v>19768</v>
      </c>
      <c r="F11" s="65">
        <v>13459</v>
      </c>
      <c r="G11" s="65">
        <v>5044</v>
      </c>
      <c r="H11" s="65">
        <v>1546</v>
      </c>
      <c r="I11" s="65">
        <v>1026</v>
      </c>
      <c r="J11" s="65">
        <v>340</v>
      </c>
      <c r="K11" s="65">
        <v>72</v>
      </c>
      <c r="L11" s="65">
        <v>21</v>
      </c>
      <c r="M11" s="65" t="s">
        <v>136</v>
      </c>
      <c r="N11" s="69">
        <v>9</v>
      </c>
    </row>
    <row r="12" spans="1:14" ht="18" customHeight="1" x14ac:dyDescent="0.2">
      <c r="A12" s="66" t="s">
        <v>27</v>
      </c>
      <c r="B12" s="65">
        <f t="shared" si="1"/>
        <v>70744</v>
      </c>
      <c r="C12" s="76" t="s">
        <v>136</v>
      </c>
      <c r="D12" s="77">
        <f t="shared" si="2"/>
        <v>70744</v>
      </c>
      <c r="E12" s="65">
        <f>6760+724</f>
        <v>7484</v>
      </c>
      <c r="F12" s="65">
        <f>9632+412</f>
        <v>10044</v>
      </c>
      <c r="G12" s="65">
        <f>10877+166</f>
        <v>11043</v>
      </c>
      <c r="H12" s="65">
        <f>10870+30</f>
        <v>10900</v>
      </c>
      <c r="I12" s="65">
        <f>11992+50</f>
        <v>12042</v>
      </c>
      <c r="J12" s="65">
        <f>10992+35</f>
        <v>11027</v>
      </c>
      <c r="K12" s="65">
        <f>5834+15</f>
        <v>5849</v>
      </c>
      <c r="L12" s="65">
        <f>1723+0</f>
        <v>1723</v>
      </c>
      <c r="M12" s="65">
        <f>345+0</f>
        <v>345</v>
      </c>
      <c r="N12" s="69">
        <v>287</v>
      </c>
    </row>
    <row r="13" spans="1:14" ht="18" customHeight="1" x14ac:dyDescent="0.2">
      <c r="A13" s="66" t="s">
        <v>92</v>
      </c>
      <c r="B13" s="65">
        <f t="shared" si="1"/>
        <v>42144</v>
      </c>
      <c r="C13" s="76" t="s">
        <v>136</v>
      </c>
      <c r="D13" s="77">
        <f t="shared" si="2"/>
        <v>42144</v>
      </c>
      <c r="E13" s="65">
        <v>7467</v>
      </c>
      <c r="F13" s="65">
        <v>19503</v>
      </c>
      <c r="G13" s="65">
        <v>9150</v>
      </c>
      <c r="H13" s="65">
        <v>3543</v>
      </c>
      <c r="I13" s="65">
        <v>1747</v>
      </c>
      <c r="J13" s="65">
        <v>520</v>
      </c>
      <c r="K13" s="65">
        <v>107</v>
      </c>
      <c r="L13" s="65">
        <v>24</v>
      </c>
      <c r="M13" s="65">
        <v>39</v>
      </c>
      <c r="N13" s="69">
        <v>44</v>
      </c>
    </row>
    <row r="14" spans="1:14" ht="18" customHeight="1" x14ac:dyDescent="0.2">
      <c r="A14" s="66" t="s">
        <v>93</v>
      </c>
      <c r="B14" s="65">
        <f t="shared" si="1"/>
        <v>48524</v>
      </c>
      <c r="C14" s="76" t="s">
        <v>136</v>
      </c>
      <c r="D14" s="77">
        <f t="shared" si="2"/>
        <v>48524</v>
      </c>
      <c r="E14" s="65">
        <v>17531</v>
      </c>
      <c r="F14" s="65">
        <v>17865</v>
      </c>
      <c r="G14" s="65">
        <v>7301</v>
      </c>
      <c r="H14" s="65">
        <v>3460</v>
      </c>
      <c r="I14" s="65">
        <v>1420</v>
      </c>
      <c r="J14" s="65">
        <v>617</v>
      </c>
      <c r="K14" s="65">
        <v>300</v>
      </c>
      <c r="L14" s="65">
        <v>19</v>
      </c>
      <c r="M14" s="65">
        <v>11</v>
      </c>
      <c r="N14" s="69" t="s">
        <v>136</v>
      </c>
    </row>
    <row r="15" spans="1:14" ht="18" customHeight="1" x14ac:dyDescent="0.2">
      <c r="A15" s="66" t="s">
        <v>20</v>
      </c>
      <c r="B15" s="65">
        <f t="shared" si="1"/>
        <v>21242</v>
      </c>
      <c r="C15" s="76" t="s">
        <v>136</v>
      </c>
      <c r="D15" s="77">
        <f t="shared" si="2"/>
        <v>21242</v>
      </c>
      <c r="E15" s="65">
        <v>7404</v>
      </c>
      <c r="F15" s="65">
        <v>8049</v>
      </c>
      <c r="G15" s="65">
        <v>2519</v>
      </c>
      <c r="H15" s="65">
        <v>903</v>
      </c>
      <c r="I15" s="65">
        <v>1420</v>
      </c>
      <c r="J15" s="65">
        <v>617</v>
      </c>
      <c r="K15" s="65">
        <v>300</v>
      </c>
      <c r="L15" s="65">
        <v>19</v>
      </c>
      <c r="M15" s="65">
        <v>11</v>
      </c>
      <c r="N15" s="69" t="s">
        <v>136</v>
      </c>
    </row>
    <row r="16" spans="1:14" ht="18" customHeight="1" x14ac:dyDescent="0.2">
      <c r="A16" s="66" t="s">
        <v>23</v>
      </c>
      <c r="B16" s="65">
        <f t="shared" si="1"/>
        <v>89403</v>
      </c>
      <c r="C16" s="76" t="s">
        <v>136</v>
      </c>
      <c r="D16" s="77">
        <f t="shared" si="2"/>
        <v>89403</v>
      </c>
      <c r="E16" s="65">
        <v>40734</v>
      </c>
      <c r="F16" s="65">
        <v>25377</v>
      </c>
      <c r="G16" s="65">
        <v>14295</v>
      </c>
      <c r="H16" s="65">
        <v>4984</v>
      </c>
      <c r="I16" s="65">
        <v>2824</v>
      </c>
      <c r="J16" s="65">
        <v>917</v>
      </c>
      <c r="K16" s="65">
        <v>161</v>
      </c>
      <c r="L16" s="65">
        <v>42</v>
      </c>
      <c r="M16" s="65">
        <v>45</v>
      </c>
      <c r="N16" s="69">
        <v>24</v>
      </c>
    </row>
    <row r="17" spans="1:14" ht="18" customHeight="1" x14ac:dyDescent="0.2">
      <c r="A17" s="66" t="s">
        <v>21</v>
      </c>
      <c r="B17" s="65">
        <f t="shared" si="1"/>
        <v>34318</v>
      </c>
      <c r="C17" s="76" t="s">
        <v>136</v>
      </c>
      <c r="D17" s="77">
        <f t="shared" si="2"/>
        <v>34318</v>
      </c>
      <c r="E17" s="65">
        <v>705</v>
      </c>
      <c r="F17" s="65">
        <v>16688</v>
      </c>
      <c r="G17" s="65">
        <v>7473</v>
      </c>
      <c r="H17" s="65">
        <v>4138</v>
      </c>
      <c r="I17" s="65">
        <v>4558</v>
      </c>
      <c r="J17" s="65">
        <v>580</v>
      </c>
      <c r="K17" s="65">
        <v>176</v>
      </c>
      <c r="L17" s="65" t="s">
        <v>136</v>
      </c>
      <c r="M17" s="65" t="s">
        <v>136</v>
      </c>
      <c r="N17" s="69" t="s">
        <v>136</v>
      </c>
    </row>
    <row r="18" spans="1:14" ht="18" customHeight="1" x14ac:dyDescent="0.2">
      <c r="A18" s="68" t="s">
        <v>114</v>
      </c>
      <c r="B18" s="65">
        <f t="shared" si="1"/>
        <v>29344</v>
      </c>
      <c r="C18" s="76" t="s">
        <v>136</v>
      </c>
      <c r="D18" s="77">
        <f t="shared" si="2"/>
        <v>29344</v>
      </c>
      <c r="E18" s="65">
        <v>10081</v>
      </c>
      <c r="F18" s="65">
        <v>13734</v>
      </c>
      <c r="G18" s="65">
        <v>3893</v>
      </c>
      <c r="H18" s="65">
        <v>887</v>
      </c>
      <c r="I18" s="65">
        <v>476</v>
      </c>
      <c r="J18" s="65">
        <v>41</v>
      </c>
      <c r="K18" s="65">
        <v>95</v>
      </c>
      <c r="L18" s="65">
        <v>123</v>
      </c>
      <c r="M18" s="65">
        <v>14</v>
      </c>
      <c r="N18" s="69" t="s">
        <v>136</v>
      </c>
    </row>
    <row r="19" spans="1:14" ht="18" customHeight="1" x14ac:dyDescent="0.2">
      <c r="A19" s="66" t="s">
        <v>19</v>
      </c>
      <c r="B19" s="65">
        <f t="shared" si="1"/>
        <v>40125</v>
      </c>
      <c r="C19" s="76" t="s">
        <v>136</v>
      </c>
      <c r="D19" s="77">
        <f t="shared" si="2"/>
        <v>40125</v>
      </c>
      <c r="E19" s="65">
        <f>6631+5128</f>
        <v>11759</v>
      </c>
      <c r="F19" s="65">
        <f>9103+3222</f>
        <v>12325</v>
      </c>
      <c r="G19" s="65">
        <f>8660+1383</f>
        <v>10043</v>
      </c>
      <c r="H19" s="65">
        <f>2787+603</f>
        <v>3390</v>
      </c>
      <c r="I19" s="65">
        <f>1473+367</f>
        <v>1840</v>
      </c>
      <c r="J19" s="65">
        <f>494+49</f>
        <v>543</v>
      </c>
      <c r="K19" s="65">
        <f>130+36</f>
        <v>166</v>
      </c>
      <c r="L19" s="65">
        <f>34+0</f>
        <v>34</v>
      </c>
      <c r="M19" s="65">
        <f>19+6</f>
        <v>25</v>
      </c>
      <c r="N19" s="69" t="s">
        <v>136</v>
      </c>
    </row>
    <row r="20" spans="1:14" ht="18" customHeight="1" x14ac:dyDescent="0.2">
      <c r="A20" s="66" t="s">
        <v>26</v>
      </c>
      <c r="B20" s="65">
        <f t="shared" si="1"/>
        <v>53347</v>
      </c>
      <c r="C20" s="76" t="s">
        <v>136</v>
      </c>
      <c r="D20" s="77">
        <f t="shared" si="2"/>
        <v>53347</v>
      </c>
      <c r="E20" s="65">
        <v>9949</v>
      </c>
      <c r="F20" s="65">
        <v>16717</v>
      </c>
      <c r="G20" s="65">
        <v>12620</v>
      </c>
      <c r="H20" s="65">
        <v>5906</v>
      </c>
      <c r="I20" s="65">
        <v>3857</v>
      </c>
      <c r="J20" s="65">
        <v>3478</v>
      </c>
      <c r="K20" s="65">
        <v>679</v>
      </c>
      <c r="L20" s="65">
        <v>70</v>
      </c>
      <c r="M20" s="65">
        <v>20</v>
      </c>
      <c r="N20" s="69">
        <v>51</v>
      </c>
    </row>
    <row r="21" spans="1:14" ht="18" customHeight="1" x14ac:dyDescent="0.2">
      <c r="A21" s="68" t="s">
        <v>115</v>
      </c>
      <c r="B21" s="65" t="s">
        <v>136</v>
      </c>
      <c r="C21" s="76" t="s">
        <v>136</v>
      </c>
      <c r="D21" s="65" t="s">
        <v>136</v>
      </c>
      <c r="E21" s="65" t="s">
        <v>136</v>
      </c>
      <c r="F21" s="65" t="s">
        <v>136</v>
      </c>
      <c r="G21" s="65" t="s">
        <v>136</v>
      </c>
      <c r="H21" s="65" t="s">
        <v>136</v>
      </c>
      <c r="I21" s="65" t="s">
        <v>136</v>
      </c>
      <c r="J21" s="65" t="s">
        <v>136</v>
      </c>
      <c r="K21" s="65" t="s">
        <v>136</v>
      </c>
      <c r="L21" s="65" t="s">
        <v>136</v>
      </c>
      <c r="M21" s="65" t="s">
        <v>136</v>
      </c>
      <c r="N21" s="69" t="s">
        <v>136</v>
      </c>
    </row>
    <row r="22" spans="1:14" ht="18" customHeight="1" x14ac:dyDescent="0.2">
      <c r="A22" s="66" t="s">
        <v>30</v>
      </c>
      <c r="B22" s="65">
        <f t="shared" si="1"/>
        <v>52579</v>
      </c>
      <c r="C22" s="76" t="s">
        <v>136</v>
      </c>
      <c r="D22" s="77">
        <f t="shared" si="2"/>
        <v>52579</v>
      </c>
      <c r="E22" s="65">
        <f>2029+456</f>
        <v>2485</v>
      </c>
      <c r="F22" s="65">
        <f>7331+366</f>
        <v>7697</v>
      </c>
      <c r="G22" s="65">
        <f>9967+428</f>
        <v>10395</v>
      </c>
      <c r="H22" s="65">
        <f>8640+290</f>
        <v>8930</v>
      </c>
      <c r="I22" s="65">
        <f>9872+279</f>
        <v>10151</v>
      </c>
      <c r="J22" s="65">
        <f>8705+83</f>
        <v>8788</v>
      </c>
      <c r="K22" s="65">
        <f>3355+33</f>
        <v>3388</v>
      </c>
      <c r="L22" s="65">
        <f>641+12</f>
        <v>653</v>
      </c>
      <c r="M22" s="65">
        <f>29+0</f>
        <v>29</v>
      </c>
      <c r="N22" s="69">
        <v>63</v>
      </c>
    </row>
    <row r="23" spans="1:14" ht="18" customHeight="1" x14ac:dyDescent="0.2">
      <c r="A23" s="66" t="s">
        <v>35</v>
      </c>
      <c r="B23" s="65">
        <f t="shared" si="1"/>
        <v>6505</v>
      </c>
      <c r="C23" s="76" t="s">
        <v>136</v>
      </c>
      <c r="D23" s="77">
        <f t="shared" si="2"/>
        <v>6505</v>
      </c>
      <c r="E23" s="65">
        <v>1369</v>
      </c>
      <c r="F23" s="65">
        <v>2433</v>
      </c>
      <c r="G23" s="65">
        <v>1137</v>
      </c>
      <c r="H23" s="65">
        <v>736</v>
      </c>
      <c r="I23" s="65">
        <v>452</v>
      </c>
      <c r="J23" s="65">
        <v>239</v>
      </c>
      <c r="K23" s="65">
        <v>101</v>
      </c>
      <c r="L23" s="65">
        <v>27</v>
      </c>
      <c r="M23" s="65">
        <v>6</v>
      </c>
      <c r="N23" s="69">
        <v>5</v>
      </c>
    </row>
    <row r="24" spans="1:14" ht="18" customHeight="1" x14ac:dyDescent="0.2">
      <c r="A24" s="66" t="s">
        <v>24</v>
      </c>
      <c r="B24" s="65">
        <f t="shared" si="1"/>
        <v>103698</v>
      </c>
      <c r="C24" s="76" t="s">
        <v>136</v>
      </c>
      <c r="D24" s="77">
        <f t="shared" si="2"/>
        <v>103698</v>
      </c>
      <c r="E24" s="65">
        <v>44981</v>
      </c>
      <c r="F24" s="65">
        <v>31305</v>
      </c>
      <c r="G24" s="65">
        <v>15735</v>
      </c>
      <c r="H24" s="65">
        <v>5667</v>
      </c>
      <c r="I24" s="65">
        <v>4105</v>
      </c>
      <c r="J24" s="65">
        <v>1687</v>
      </c>
      <c r="K24" s="65">
        <v>148</v>
      </c>
      <c r="L24" s="65">
        <v>40</v>
      </c>
      <c r="M24" s="65">
        <v>30</v>
      </c>
      <c r="N24" s="69" t="s">
        <v>136</v>
      </c>
    </row>
    <row r="25" spans="1:14" ht="18" customHeight="1" x14ac:dyDescent="0.2">
      <c r="A25" s="66" t="s">
        <v>17</v>
      </c>
      <c r="B25" s="65">
        <f t="shared" si="1"/>
        <v>69851</v>
      </c>
      <c r="C25" s="76" t="s">
        <v>136</v>
      </c>
      <c r="D25" s="77">
        <f t="shared" si="2"/>
        <v>69851</v>
      </c>
      <c r="E25" s="65">
        <v>12947</v>
      </c>
      <c r="F25" s="65">
        <v>27253</v>
      </c>
      <c r="G25" s="65">
        <v>13185</v>
      </c>
      <c r="H25" s="65">
        <v>9161</v>
      </c>
      <c r="I25" s="65">
        <v>5282</v>
      </c>
      <c r="J25" s="65">
        <v>1603</v>
      </c>
      <c r="K25" s="65">
        <v>258</v>
      </c>
      <c r="L25" s="65">
        <v>134</v>
      </c>
      <c r="M25" s="65">
        <v>6</v>
      </c>
      <c r="N25" s="69">
        <v>22</v>
      </c>
    </row>
    <row r="26" spans="1:14" ht="18" customHeight="1" x14ac:dyDescent="0.2">
      <c r="A26" s="68" t="s">
        <v>116</v>
      </c>
      <c r="B26" s="65">
        <f t="shared" si="1"/>
        <v>32811</v>
      </c>
      <c r="C26" s="76" t="s">
        <v>136</v>
      </c>
      <c r="D26" s="77">
        <f t="shared" si="2"/>
        <v>32811</v>
      </c>
      <c r="E26" s="65">
        <v>3388</v>
      </c>
      <c r="F26" s="65">
        <v>10281</v>
      </c>
      <c r="G26" s="65">
        <v>8650</v>
      </c>
      <c r="H26" s="65">
        <v>4715</v>
      </c>
      <c r="I26" s="65">
        <v>3523</v>
      </c>
      <c r="J26" s="65">
        <v>1463</v>
      </c>
      <c r="K26" s="65">
        <v>544</v>
      </c>
      <c r="L26" s="65">
        <v>200</v>
      </c>
      <c r="M26" s="65">
        <v>35</v>
      </c>
      <c r="N26" s="69">
        <v>12</v>
      </c>
    </row>
    <row r="27" spans="1:14" ht="18" customHeight="1" x14ac:dyDescent="0.2">
      <c r="A27" s="68" t="s">
        <v>118</v>
      </c>
      <c r="B27" s="65">
        <f t="shared" si="1"/>
        <v>0</v>
      </c>
      <c r="C27" s="76" t="s">
        <v>136</v>
      </c>
      <c r="D27" s="65" t="s">
        <v>136</v>
      </c>
      <c r="E27" s="65" t="s">
        <v>136</v>
      </c>
      <c r="F27" s="65" t="s">
        <v>136</v>
      </c>
      <c r="G27" s="65" t="s">
        <v>136</v>
      </c>
      <c r="H27" s="65" t="s">
        <v>136</v>
      </c>
      <c r="I27" s="65" t="s">
        <v>136</v>
      </c>
      <c r="J27" s="65" t="s">
        <v>136</v>
      </c>
      <c r="K27" s="65" t="s">
        <v>136</v>
      </c>
      <c r="L27" s="65" t="s">
        <v>136</v>
      </c>
      <c r="M27" s="65" t="s">
        <v>136</v>
      </c>
      <c r="N27" s="69" t="s">
        <v>136</v>
      </c>
    </row>
    <row r="28" spans="1:14" ht="18" customHeight="1" x14ac:dyDescent="0.2">
      <c r="A28" s="66" t="s">
        <v>15</v>
      </c>
      <c r="B28" s="65">
        <f t="shared" si="1"/>
        <v>60252</v>
      </c>
      <c r="C28" s="76" t="s">
        <v>136</v>
      </c>
      <c r="D28" s="77">
        <f t="shared" si="2"/>
        <v>60252</v>
      </c>
      <c r="E28" s="65">
        <v>22561</v>
      </c>
      <c r="F28" s="65">
        <v>23283</v>
      </c>
      <c r="G28" s="65">
        <v>7238</v>
      </c>
      <c r="H28" s="65">
        <v>4056</v>
      </c>
      <c r="I28" s="65">
        <v>2337</v>
      </c>
      <c r="J28" s="65">
        <v>680</v>
      </c>
      <c r="K28" s="65">
        <v>97</v>
      </c>
      <c r="L28" s="65" t="s">
        <v>136</v>
      </c>
      <c r="M28" s="65" t="s">
        <v>136</v>
      </c>
      <c r="N28" s="69" t="s">
        <v>136</v>
      </c>
    </row>
    <row r="29" spans="1:14" ht="18" customHeight="1" x14ac:dyDescent="0.2">
      <c r="A29" s="68" t="s">
        <v>117</v>
      </c>
      <c r="B29" s="65">
        <f t="shared" si="1"/>
        <v>0</v>
      </c>
      <c r="C29" s="76" t="s">
        <v>136</v>
      </c>
      <c r="D29" s="65" t="s">
        <v>136</v>
      </c>
      <c r="E29" s="65" t="s">
        <v>136</v>
      </c>
      <c r="F29" s="65" t="s">
        <v>136</v>
      </c>
      <c r="G29" s="65" t="s">
        <v>136</v>
      </c>
      <c r="H29" s="65" t="s">
        <v>136</v>
      </c>
      <c r="I29" s="65" t="s">
        <v>136</v>
      </c>
      <c r="J29" s="65" t="s">
        <v>136</v>
      </c>
      <c r="K29" s="65" t="s">
        <v>136</v>
      </c>
      <c r="L29" s="65" t="s">
        <v>136</v>
      </c>
      <c r="M29" s="65" t="s">
        <v>136</v>
      </c>
      <c r="N29" s="69" t="s">
        <v>136</v>
      </c>
    </row>
    <row r="30" spans="1:14" s="67" customFormat="1" ht="18" customHeight="1" x14ac:dyDescent="0.2">
      <c r="A30" s="66" t="s">
        <v>14</v>
      </c>
      <c r="B30" s="65">
        <f t="shared" si="1"/>
        <v>109414</v>
      </c>
      <c r="C30" s="76" t="s">
        <v>136</v>
      </c>
      <c r="D30" s="77">
        <f t="shared" si="2"/>
        <v>109414</v>
      </c>
      <c r="E30" s="65">
        <f>27175+1433</f>
        <v>28608</v>
      </c>
      <c r="F30" s="65">
        <f>38494+3386</f>
        <v>41880</v>
      </c>
      <c r="G30" s="65">
        <f>17256+2996</f>
        <v>20252</v>
      </c>
      <c r="H30" s="65">
        <f>7770+1061</f>
        <v>8831</v>
      </c>
      <c r="I30" s="65">
        <f>6797+335</f>
        <v>7132</v>
      </c>
      <c r="J30" s="65">
        <f>2124+74</f>
        <v>2198</v>
      </c>
      <c r="K30" s="65">
        <f>213+37</f>
        <v>250</v>
      </c>
      <c r="L30" s="65">
        <v>222</v>
      </c>
      <c r="M30" s="65">
        <v>17</v>
      </c>
      <c r="N30" s="69">
        <v>24</v>
      </c>
    </row>
    <row r="31" spans="1:14" s="67" customFormat="1" ht="18" customHeight="1" x14ac:dyDescent="0.2">
      <c r="A31" s="68" t="s">
        <v>119</v>
      </c>
      <c r="B31" s="65">
        <f t="shared" si="1"/>
        <v>0</v>
      </c>
      <c r="C31" s="76" t="s">
        <v>136</v>
      </c>
      <c r="D31" s="65" t="s">
        <v>136</v>
      </c>
      <c r="E31" s="65" t="s">
        <v>136</v>
      </c>
      <c r="F31" s="65" t="s">
        <v>136</v>
      </c>
      <c r="G31" s="65" t="s">
        <v>136</v>
      </c>
      <c r="H31" s="65" t="s">
        <v>136</v>
      </c>
      <c r="I31" s="65" t="s">
        <v>136</v>
      </c>
      <c r="J31" s="65" t="s">
        <v>136</v>
      </c>
      <c r="K31" s="65" t="s">
        <v>136</v>
      </c>
      <c r="L31" s="65" t="s">
        <v>136</v>
      </c>
      <c r="M31" s="65" t="s">
        <v>136</v>
      </c>
      <c r="N31" s="69" t="s">
        <v>136</v>
      </c>
    </row>
    <row r="32" spans="1:14" s="67" customFormat="1" ht="18" customHeight="1" x14ac:dyDescent="0.2">
      <c r="A32" s="66" t="s">
        <v>33</v>
      </c>
      <c r="B32" s="65">
        <f t="shared" si="1"/>
        <v>49368</v>
      </c>
      <c r="C32" s="76" t="s">
        <v>136</v>
      </c>
      <c r="D32" s="77">
        <f t="shared" si="2"/>
        <v>49368</v>
      </c>
      <c r="E32" s="65">
        <v>15962</v>
      </c>
      <c r="F32" s="65">
        <v>17552</v>
      </c>
      <c r="G32" s="65">
        <v>10644</v>
      </c>
      <c r="H32" s="65">
        <v>2800</v>
      </c>
      <c r="I32" s="65">
        <v>1512</v>
      </c>
      <c r="J32" s="65">
        <v>786</v>
      </c>
      <c r="K32" s="65">
        <v>50</v>
      </c>
      <c r="L32" s="65">
        <v>60</v>
      </c>
      <c r="M32" s="65" t="s">
        <v>136</v>
      </c>
      <c r="N32" s="69">
        <v>2</v>
      </c>
    </row>
    <row r="33" spans="1:14" s="67" customFormat="1" ht="18" customHeight="1" x14ac:dyDescent="0.2">
      <c r="A33" s="66" t="s">
        <v>18</v>
      </c>
      <c r="B33" s="65">
        <f t="shared" si="1"/>
        <v>89425</v>
      </c>
      <c r="C33" s="76" t="s">
        <v>136</v>
      </c>
      <c r="D33" s="77">
        <f t="shared" si="2"/>
        <v>89425</v>
      </c>
      <c r="E33" s="65">
        <v>27804</v>
      </c>
      <c r="F33" s="65">
        <v>28531</v>
      </c>
      <c r="G33" s="65">
        <v>18962</v>
      </c>
      <c r="H33" s="65">
        <v>8282</v>
      </c>
      <c r="I33" s="65">
        <v>4299</v>
      </c>
      <c r="J33" s="65">
        <v>1350</v>
      </c>
      <c r="K33" s="65">
        <v>123</v>
      </c>
      <c r="L33" s="65">
        <v>51</v>
      </c>
      <c r="M33" s="65" t="s">
        <v>136</v>
      </c>
      <c r="N33" s="69">
        <v>23</v>
      </c>
    </row>
    <row r="34" spans="1:14" s="67" customFormat="1" ht="18" customHeight="1" x14ac:dyDescent="0.2">
      <c r="A34" s="66" t="s">
        <v>32</v>
      </c>
      <c r="B34" s="65">
        <f t="shared" si="1"/>
        <v>94542</v>
      </c>
      <c r="C34" s="76" t="s">
        <v>136</v>
      </c>
      <c r="D34" s="77">
        <f t="shared" si="2"/>
        <v>94542</v>
      </c>
      <c r="E34" s="65">
        <v>36495</v>
      </c>
      <c r="F34" s="65">
        <v>38661</v>
      </c>
      <c r="G34" s="65">
        <v>12037</v>
      </c>
      <c r="H34" s="65">
        <v>4354</v>
      </c>
      <c r="I34" s="65">
        <v>2189</v>
      </c>
      <c r="J34" s="65">
        <v>632</v>
      </c>
      <c r="K34" s="65">
        <v>115</v>
      </c>
      <c r="L34" s="65">
        <v>45</v>
      </c>
      <c r="M34" s="65">
        <v>4</v>
      </c>
      <c r="N34" s="69">
        <v>10</v>
      </c>
    </row>
    <row r="35" spans="1:14" s="67" customFormat="1" ht="18" customHeight="1" x14ac:dyDescent="0.2">
      <c r="A35" s="66" t="s">
        <v>28</v>
      </c>
      <c r="B35" s="65">
        <f t="shared" si="1"/>
        <v>28738</v>
      </c>
      <c r="C35" s="76" t="s">
        <v>136</v>
      </c>
      <c r="D35" s="77">
        <f t="shared" si="2"/>
        <v>28738</v>
      </c>
      <c r="E35" s="65">
        <f>2968+389</f>
        <v>3357</v>
      </c>
      <c r="F35" s="65">
        <f>3275+602</f>
        <v>3877</v>
      </c>
      <c r="G35" s="65">
        <f>4189+1358</f>
        <v>5547</v>
      </c>
      <c r="H35" s="65">
        <f>4490+1800</f>
        <v>6290</v>
      </c>
      <c r="I35" s="65">
        <f>3856+1282</f>
        <v>5138</v>
      </c>
      <c r="J35" s="65">
        <f>3090+310</f>
        <v>3400</v>
      </c>
      <c r="K35" s="65">
        <f>758+48</f>
        <v>806</v>
      </c>
      <c r="L35" s="65">
        <f>290+6</f>
        <v>296</v>
      </c>
      <c r="M35" s="65">
        <f>18+0</f>
        <v>18</v>
      </c>
      <c r="N35" s="69">
        <v>9</v>
      </c>
    </row>
    <row r="36" spans="1:14" s="64" customFormat="1" ht="18" customHeight="1" x14ac:dyDescent="0.2">
      <c r="A36" s="66" t="s">
        <v>94</v>
      </c>
      <c r="B36" s="65">
        <f t="shared" si="1"/>
        <v>18511</v>
      </c>
      <c r="C36" s="76" t="s">
        <v>136</v>
      </c>
      <c r="D36" s="77">
        <f t="shared" si="2"/>
        <v>18511</v>
      </c>
      <c r="E36" s="65">
        <v>1939</v>
      </c>
      <c r="F36" s="65">
        <v>5278</v>
      </c>
      <c r="G36" s="65">
        <v>3763</v>
      </c>
      <c r="H36" s="65">
        <v>2499</v>
      </c>
      <c r="I36" s="65">
        <v>1999</v>
      </c>
      <c r="J36" s="65">
        <v>1270</v>
      </c>
      <c r="K36" s="65">
        <v>1002</v>
      </c>
      <c r="L36" s="65">
        <v>457</v>
      </c>
      <c r="M36" s="65">
        <v>225</v>
      </c>
      <c r="N36" s="106">
        <v>79</v>
      </c>
    </row>
    <row r="37" spans="1:14" x14ac:dyDescent="0.2">
      <c r="A37" s="61"/>
      <c r="B37" s="61"/>
      <c r="C37" s="61"/>
    </row>
    <row r="38" spans="1:14" x14ac:dyDescent="0.2">
      <c r="B38" s="61"/>
      <c r="C38" s="61"/>
      <c r="E38" s="63"/>
      <c r="G38" s="62"/>
      <c r="I38" s="61"/>
      <c r="J38" s="61"/>
      <c r="K38" s="61"/>
      <c r="L38" s="61"/>
      <c r="N38" s="60" t="s">
        <v>107</v>
      </c>
    </row>
    <row r="39" spans="1:14" x14ac:dyDescent="0.2">
      <c r="F39" s="59"/>
      <c r="G39" s="59"/>
    </row>
  </sheetData>
  <mergeCells count="1">
    <mergeCell ref="A1:N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99"/>
  <sheetViews>
    <sheetView tabSelected="1" view="pageBreakPreview" zoomScaleNormal="210" zoomScaleSheetLayoutView="100" workbookViewId="0">
      <selection activeCell="B9" sqref="B9"/>
    </sheetView>
  </sheetViews>
  <sheetFormatPr defaultRowHeight="12.75" x14ac:dyDescent="0.2"/>
  <cols>
    <col min="1" max="1" width="3.140625" style="58" customWidth="1"/>
    <col min="2" max="2" width="21" style="58" customWidth="1"/>
    <col min="3" max="3" width="9.28515625" style="58" customWidth="1"/>
    <col min="4" max="4" width="8.85546875" style="58" customWidth="1"/>
    <col min="5" max="6" width="6.5703125" style="58" bestFit="1" customWidth="1"/>
    <col min="7" max="7" width="6.42578125" style="58" bestFit="1" customWidth="1"/>
    <col min="8" max="8" width="7" style="58" customWidth="1"/>
    <col min="9" max="9" width="6.5703125" style="58" bestFit="1" customWidth="1"/>
    <col min="10" max="10" width="10.5703125" style="58" customWidth="1"/>
    <col min="11" max="16384" width="9.140625" style="58"/>
  </cols>
  <sheetData>
    <row r="1" spans="1:10" s="75" customFormat="1" ht="60" customHeight="1" x14ac:dyDescent="0.25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59" customFormat="1" ht="12" x14ac:dyDescent="0.2">
      <c r="A2" s="59" t="s">
        <v>111</v>
      </c>
    </row>
    <row r="3" spans="1:10" ht="20.100000000000001" customHeight="1" x14ac:dyDescent="0.2">
      <c r="A3" s="133" t="s">
        <v>170</v>
      </c>
      <c r="B3" s="133" t="s">
        <v>169</v>
      </c>
      <c r="C3" s="133" t="s">
        <v>85</v>
      </c>
      <c r="D3" s="133" t="s">
        <v>42</v>
      </c>
      <c r="E3" s="133" t="s">
        <v>159</v>
      </c>
      <c r="F3" s="133"/>
      <c r="G3" s="133"/>
      <c r="H3" s="133"/>
      <c r="I3" s="133"/>
      <c r="J3" s="133"/>
    </row>
    <row r="4" spans="1:10" ht="25.5" x14ac:dyDescent="0.2">
      <c r="A4" s="133"/>
      <c r="B4" s="133"/>
      <c r="C4" s="133"/>
      <c r="D4" s="133"/>
      <c r="E4" s="72" t="s">
        <v>154</v>
      </c>
      <c r="F4" s="72" t="s">
        <v>155</v>
      </c>
      <c r="G4" s="72" t="s">
        <v>156</v>
      </c>
      <c r="H4" s="72" t="s">
        <v>157</v>
      </c>
      <c r="I4" s="72" t="s">
        <v>13</v>
      </c>
      <c r="J4" s="72" t="s">
        <v>158</v>
      </c>
    </row>
    <row r="5" spans="1:10" ht="17.45" customHeight="1" x14ac:dyDescent="0.2">
      <c r="A5" s="92"/>
      <c r="B5" s="93" t="s">
        <v>183</v>
      </c>
      <c r="C5" s="94">
        <f t="shared" ref="C5:J5" si="0">SUM(C6,C9,C11,C14,C17,C21,C24,C36,C44,C47,C52,C54,C59,C30,C62,C64,C68,C73,C76,C84,C87,C91,C94,C96,C33,C51,C71,C8,C58,C72,C75,C83)</f>
        <v>205</v>
      </c>
      <c r="D5" s="94">
        <f t="shared" si="0"/>
        <v>1444</v>
      </c>
      <c r="E5" s="94">
        <f t="shared" si="0"/>
        <v>11854</v>
      </c>
      <c r="F5" s="94">
        <f t="shared" si="0"/>
        <v>11334</v>
      </c>
      <c r="G5" s="94">
        <f t="shared" si="0"/>
        <v>144</v>
      </c>
      <c r="H5" s="94">
        <f t="shared" si="0"/>
        <v>206</v>
      </c>
      <c r="I5" s="94">
        <f t="shared" si="0"/>
        <v>25</v>
      </c>
      <c r="J5" s="94">
        <f t="shared" si="0"/>
        <v>145</v>
      </c>
    </row>
    <row r="6" spans="1:10" ht="17.45" customHeight="1" x14ac:dyDescent="0.2">
      <c r="A6" s="95">
        <v>1</v>
      </c>
      <c r="B6" s="93" t="s">
        <v>55</v>
      </c>
      <c r="C6" s="94">
        <f>SUM(C7)</f>
        <v>7</v>
      </c>
      <c r="D6" s="94">
        <f t="shared" ref="D6:J6" si="1">SUM(D7)</f>
        <v>69</v>
      </c>
      <c r="E6" s="94">
        <f t="shared" si="1"/>
        <v>345</v>
      </c>
      <c r="F6" s="94">
        <f t="shared" si="1"/>
        <v>326</v>
      </c>
      <c r="G6" s="94">
        <f t="shared" si="1"/>
        <v>6</v>
      </c>
      <c r="H6" s="94">
        <f t="shared" si="1"/>
        <v>12</v>
      </c>
      <c r="I6" s="94">
        <f t="shared" si="1"/>
        <v>0</v>
      </c>
      <c r="J6" s="94">
        <f t="shared" si="1"/>
        <v>1</v>
      </c>
    </row>
    <row r="7" spans="1:10" ht="17.45" customHeight="1" x14ac:dyDescent="0.2">
      <c r="A7" s="92" t="s">
        <v>171</v>
      </c>
      <c r="B7" s="96" t="s">
        <v>22</v>
      </c>
      <c r="C7" s="97">
        <v>7</v>
      </c>
      <c r="D7" s="97">
        <v>69</v>
      </c>
      <c r="E7" s="97">
        <f t="shared" ref="E7:E38" si="2">SUM(F7:J7)</f>
        <v>345</v>
      </c>
      <c r="F7" s="97">
        <v>326</v>
      </c>
      <c r="G7" s="97">
        <v>6</v>
      </c>
      <c r="H7" s="97">
        <v>12</v>
      </c>
      <c r="I7" s="98" t="s">
        <v>136</v>
      </c>
      <c r="J7" s="99">
        <v>1</v>
      </c>
    </row>
    <row r="8" spans="1:10" ht="17.45" customHeight="1" x14ac:dyDescent="0.2">
      <c r="A8" s="95">
        <v>2</v>
      </c>
      <c r="B8" s="93" t="s">
        <v>184</v>
      </c>
      <c r="C8" s="98" t="s">
        <v>136</v>
      </c>
      <c r="D8" s="98" t="s">
        <v>136</v>
      </c>
      <c r="E8" s="98" t="s">
        <v>136</v>
      </c>
      <c r="F8" s="98" t="s">
        <v>136</v>
      </c>
      <c r="G8" s="98" t="s">
        <v>136</v>
      </c>
      <c r="H8" s="98" t="s">
        <v>136</v>
      </c>
      <c r="I8" s="98" t="s">
        <v>136</v>
      </c>
      <c r="J8" s="98" t="s">
        <v>136</v>
      </c>
    </row>
    <row r="9" spans="1:10" ht="17.45" customHeight="1" x14ac:dyDescent="0.2">
      <c r="A9" s="95">
        <v>3</v>
      </c>
      <c r="B9" s="93" t="s">
        <v>62</v>
      </c>
      <c r="C9" s="94">
        <f>SUM(C10)</f>
        <v>10</v>
      </c>
      <c r="D9" s="94">
        <f>SUM(D10)</f>
        <v>66</v>
      </c>
      <c r="E9" s="94">
        <f t="shared" ref="E9:J9" si="3">SUM(E10)</f>
        <v>577</v>
      </c>
      <c r="F9" s="94">
        <f t="shared" si="3"/>
        <v>539</v>
      </c>
      <c r="G9" s="94">
        <f t="shared" si="3"/>
        <v>22</v>
      </c>
      <c r="H9" s="94">
        <f t="shared" si="3"/>
        <v>12</v>
      </c>
      <c r="I9" s="94">
        <f t="shared" si="3"/>
        <v>0</v>
      </c>
      <c r="J9" s="94">
        <f t="shared" si="3"/>
        <v>4</v>
      </c>
    </row>
    <row r="10" spans="1:10" ht="17.45" customHeight="1" x14ac:dyDescent="0.2">
      <c r="A10" s="92" t="s">
        <v>171</v>
      </c>
      <c r="B10" s="96" t="s">
        <v>29</v>
      </c>
      <c r="C10" s="97">
        <f>7+3</f>
        <v>10</v>
      </c>
      <c r="D10" s="97">
        <f>52+14</f>
        <v>66</v>
      </c>
      <c r="E10" s="97">
        <f t="shared" si="2"/>
        <v>577</v>
      </c>
      <c r="F10" s="97">
        <f>210+329</f>
        <v>539</v>
      </c>
      <c r="G10" s="97">
        <f>5+17</f>
        <v>22</v>
      </c>
      <c r="H10" s="97">
        <f>11+1</f>
        <v>12</v>
      </c>
      <c r="I10" s="98" t="s">
        <v>136</v>
      </c>
      <c r="J10" s="99">
        <v>4</v>
      </c>
    </row>
    <row r="11" spans="1:10" ht="17.45" customHeight="1" x14ac:dyDescent="0.2">
      <c r="A11" s="95">
        <v>4</v>
      </c>
      <c r="B11" s="93" t="s">
        <v>59</v>
      </c>
      <c r="C11" s="94">
        <f>SUM(C12:C13)</f>
        <v>4</v>
      </c>
      <c r="D11" s="94">
        <f t="shared" ref="D11:J11" si="4">SUM(D12:D13)</f>
        <v>36</v>
      </c>
      <c r="E11" s="94">
        <f t="shared" si="4"/>
        <v>103</v>
      </c>
      <c r="F11" s="94">
        <f t="shared" si="4"/>
        <v>103</v>
      </c>
      <c r="G11" s="94">
        <f t="shared" si="4"/>
        <v>0</v>
      </c>
      <c r="H11" s="94">
        <f t="shared" si="4"/>
        <v>0</v>
      </c>
      <c r="I11" s="94">
        <f t="shared" si="4"/>
        <v>0</v>
      </c>
      <c r="J11" s="94">
        <f t="shared" si="4"/>
        <v>0</v>
      </c>
    </row>
    <row r="12" spans="1:10" ht="17.45" customHeight="1" x14ac:dyDescent="0.2">
      <c r="A12" s="92" t="s">
        <v>171</v>
      </c>
      <c r="B12" s="96" t="s">
        <v>25</v>
      </c>
      <c r="C12" s="97">
        <v>2</v>
      </c>
      <c r="D12" s="97">
        <v>19</v>
      </c>
      <c r="E12" s="97">
        <f t="shared" si="2"/>
        <v>60</v>
      </c>
      <c r="F12" s="97">
        <v>60</v>
      </c>
      <c r="G12" s="98" t="s">
        <v>136</v>
      </c>
      <c r="H12" s="98" t="s">
        <v>136</v>
      </c>
      <c r="I12" s="98" t="s">
        <v>136</v>
      </c>
      <c r="J12" s="98" t="s">
        <v>136</v>
      </c>
    </row>
    <row r="13" spans="1:10" ht="17.45" customHeight="1" x14ac:dyDescent="0.2">
      <c r="A13" s="92" t="s">
        <v>173</v>
      </c>
      <c r="B13" s="96" t="s">
        <v>172</v>
      </c>
      <c r="C13" s="97">
        <v>2</v>
      </c>
      <c r="D13" s="97">
        <v>17</v>
      </c>
      <c r="E13" s="97">
        <f t="shared" si="2"/>
        <v>43</v>
      </c>
      <c r="F13" s="97">
        <v>43</v>
      </c>
      <c r="G13" s="98" t="s">
        <v>136</v>
      </c>
      <c r="H13" s="98" t="s">
        <v>136</v>
      </c>
      <c r="I13" s="98" t="s">
        <v>136</v>
      </c>
      <c r="J13" s="98" t="s">
        <v>136</v>
      </c>
    </row>
    <row r="14" spans="1:10" ht="17.45" customHeight="1" x14ac:dyDescent="0.2">
      <c r="A14" s="95">
        <v>5</v>
      </c>
      <c r="B14" s="93" t="s">
        <v>72</v>
      </c>
      <c r="C14" s="94">
        <f>SUM(C15:C16)</f>
        <v>6</v>
      </c>
      <c r="D14" s="94">
        <f t="shared" ref="D14:J14" si="5">SUM(D15:D16)</f>
        <v>59</v>
      </c>
      <c r="E14" s="94">
        <f t="shared" si="5"/>
        <v>167</v>
      </c>
      <c r="F14" s="94">
        <f t="shared" si="5"/>
        <v>167</v>
      </c>
      <c r="G14" s="94">
        <f t="shared" si="5"/>
        <v>0</v>
      </c>
      <c r="H14" s="94">
        <f t="shared" si="5"/>
        <v>0</v>
      </c>
      <c r="I14" s="94">
        <f t="shared" si="5"/>
        <v>0</v>
      </c>
      <c r="J14" s="94">
        <f t="shared" si="5"/>
        <v>0</v>
      </c>
    </row>
    <row r="15" spans="1:10" ht="17.45" customHeight="1" x14ac:dyDescent="0.2">
      <c r="A15" s="92" t="s">
        <v>171</v>
      </c>
      <c r="B15" s="96" t="s">
        <v>168</v>
      </c>
      <c r="C15" s="97">
        <v>5</v>
      </c>
      <c r="D15" s="97">
        <v>50</v>
      </c>
      <c r="E15" s="97">
        <f t="shared" si="2"/>
        <v>139</v>
      </c>
      <c r="F15" s="97">
        <v>139</v>
      </c>
      <c r="G15" s="98" t="s">
        <v>136</v>
      </c>
      <c r="H15" s="98" t="s">
        <v>136</v>
      </c>
      <c r="I15" s="98" t="s">
        <v>136</v>
      </c>
      <c r="J15" s="98" t="s">
        <v>136</v>
      </c>
    </row>
    <row r="16" spans="1:10" ht="17.45" customHeight="1" x14ac:dyDescent="0.2">
      <c r="A16" s="92" t="s">
        <v>173</v>
      </c>
      <c r="B16" s="96" t="s">
        <v>74</v>
      </c>
      <c r="C16" s="97">
        <v>1</v>
      </c>
      <c r="D16" s="97">
        <v>9</v>
      </c>
      <c r="E16" s="97">
        <f t="shared" si="2"/>
        <v>28</v>
      </c>
      <c r="F16" s="97">
        <v>28</v>
      </c>
      <c r="G16" s="98" t="s">
        <v>136</v>
      </c>
      <c r="H16" s="98" t="s">
        <v>136</v>
      </c>
      <c r="I16" s="98" t="s">
        <v>136</v>
      </c>
      <c r="J16" s="98" t="s">
        <v>136</v>
      </c>
    </row>
    <row r="17" spans="1:10" ht="17.45" customHeight="1" x14ac:dyDescent="0.2">
      <c r="A17" s="95">
        <v>6</v>
      </c>
      <c r="B17" s="93" t="s">
        <v>45</v>
      </c>
      <c r="C17" s="94">
        <f>SUM(C18:C20)</f>
        <v>4</v>
      </c>
      <c r="D17" s="94">
        <f>SUM(D18:D20)</f>
        <v>67</v>
      </c>
      <c r="E17" s="94">
        <f>SUM(E18:E20)</f>
        <v>205</v>
      </c>
      <c r="F17" s="94">
        <f>SUM(F18:F20)</f>
        <v>193</v>
      </c>
      <c r="G17" s="94">
        <f t="shared" ref="G17:H17" si="6">SUM(G18:G20)</f>
        <v>5</v>
      </c>
      <c r="H17" s="94">
        <f t="shared" si="6"/>
        <v>7</v>
      </c>
      <c r="I17" s="100">
        <f>SUM(I18:I20)</f>
        <v>0</v>
      </c>
      <c r="J17" s="100">
        <f>SUM(J18:J20)</f>
        <v>0</v>
      </c>
    </row>
    <row r="18" spans="1:10" ht="17.45" customHeight="1" x14ac:dyDescent="0.2">
      <c r="A18" s="92" t="s">
        <v>171</v>
      </c>
      <c r="B18" s="96" t="s">
        <v>16</v>
      </c>
      <c r="C18" s="97">
        <v>2</v>
      </c>
      <c r="D18" s="97">
        <v>32</v>
      </c>
      <c r="E18" s="97">
        <f t="shared" si="2"/>
        <v>103</v>
      </c>
      <c r="F18" s="97">
        <v>99</v>
      </c>
      <c r="G18" s="97">
        <v>1</v>
      </c>
      <c r="H18" s="97">
        <v>3</v>
      </c>
      <c r="I18" s="98" t="s">
        <v>136</v>
      </c>
      <c r="J18" s="101" t="s">
        <v>136</v>
      </c>
    </row>
    <row r="19" spans="1:10" ht="17.45" customHeight="1" x14ac:dyDescent="0.2">
      <c r="A19" s="92" t="s">
        <v>173</v>
      </c>
      <c r="B19" s="96" t="s">
        <v>46</v>
      </c>
      <c r="C19" s="97">
        <v>1</v>
      </c>
      <c r="D19" s="97">
        <v>18</v>
      </c>
      <c r="E19" s="97">
        <f t="shared" si="2"/>
        <v>54</v>
      </c>
      <c r="F19" s="97">
        <v>50</v>
      </c>
      <c r="G19" s="97">
        <v>1</v>
      </c>
      <c r="H19" s="97">
        <v>3</v>
      </c>
      <c r="I19" s="98" t="s">
        <v>136</v>
      </c>
      <c r="J19" s="101" t="s">
        <v>136</v>
      </c>
    </row>
    <row r="20" spans="1:10" ht="17.45" customHeight="1" x14ac:dyDescent="0.2">
      <c r="A20" s="92" t="s">
        <v>174</v>
      </c>
      <c r="B20" s="96" t="s">
        <v>140</v>
      </c>
      <c r="C20" s="97">
        <v>1</v>
      </c>
      <c r="D20" s="97">
        <v>17</v>
      </c>
      <c r="E20" s="97">
        <f t="shared" si="2"/>
        <v>48</v>
      </c>
      <c r="F20" s="97">
        <v>44</v>
      </c>
      <c r="G20" s="97">
        <v>3</v>
      </c>
      <c r="H20" s="97">
        <v>1</v>
      </c>
      <c r="I20" s="98" t="s">
        <v>136</v>
      </c>
      <c r="J20" s="101" t="s">
        <v>136</v>
      </c>
    </row>
    <row r="21" spans="1:10" ht="17.45" customHeight="1" x14ac:dyDescent="0.2">
      <c r="A21" s="95">
        <v>7</v>
      </c>
      <c r="B21" s="93" t="s">
        <v>67</v>
      </c>
      <c r="C21" s="100">
        <f>SUM(C22:C23)</f>
        <v>2</v>
      </c>
      <c r="D21" s="100">
        <f t="shared" ref="D21:J21" si="7">SUM(D22:D23)</f>
        <v>8</v>
      </c>
      <c r="E21" s="100">
        <f t="shared" si="7"/>
        <v>523</v>
      </c>
      <c r="F21" s="100">
        <f t="shared" si="7"/>
        <v>497</v>
      </c>
      <c r="G21" s="100">
        <f t="shared" si="7"/>
        <v>7</v>
      </c>
      <c r="H21" s="100">
        <f t="shared" si="7"/>
        <v>19</v>
      </c>
      <c r="I21" s="100">
        <f t="shared" si="7"/>
        <v>0</v>
      </c>
      <c r="J21" s="100">
        <f t="shared" si="7"/>
        <v>0</v>
      </c>
    </row>
    <row r="22" spans="1:10" ht="17.45" customHeight="1" x14ac:dyDescent="0.2">
      <c r="A22" s="92" t="s">
        <v>171</v>
      </c>
      <c r="B22" s="96" t="s">
        <v>31</v>
      </c>
      <c r="C22" s="98">
        <v>1</v>
      </c>
      <c r="D22" s="98">
        <v>4</v>
      </c>
      <c r="E22" s="97">
        <f t="shared" si="2"/>
        <v>327</v>
      </c>
      <c r="F22" s="98">
        <v>301</v>
      </c>
      <c r="G22" s="98">
        <v>7</v>
      </c>
      <c r="H22" s="98">
        <v>19</v>
      </c>
      <c r="I22" s="98" t="s">
        <v>136</v>
      </c>
      <c r="J22" s="98" t="s">
        <v>136</v>
      </c>
    </row>
    <row r="23" spans="1:10" ht="17.45" customHeight="1" x14ac:dyDescent="0.2">
      <c r="A23" s="92" t="s">
        <v>173</v>
      </c>
      <c r="B23" s="96" t="s">
        <v>150</v>
      </c>
      <c r="C23" s="98">
        <v>1</v>
      </c>
      <c r="D23" s="98">
        <v>4</v>
      </c>
      <c r="E23" s="97">
        <f t="shared" si="2"/>
        <v>196</v>
      </c>
      <c r="F23" s="98">
        <v>196</v>
      </c>
      <c r="G23" s="98" t="s">
        <v>136</v>
      </c>
      <c r="H23" s="98" t="s">
        <v>136</v>
      </c>
      <c r="I23" s="98" t="s">
        <v>136</v>
      </c>
      <c r="J23" s="98" t="s">
        <v>136</v>
      </c>
    </row>
    <row r="24" spans="1:10" ht="17.45" customHeight="1" x14ac:dyDescent="0.2">
      <c r="A24" s="95">
        <v>8</v>
      </c>
      <c r="B24" s="93" t="s">
        <v>64</v>
      </c>
      <c r="C24" s="94">
        <f>SUM(C25:C29)</f>
        <v>16</v>
      </c>
      <c r="D24" s="94">
        <f>SUM(D25:D29)</f>
        <v>101</v>
      </c>
      <c r="E24" s="94">
        <f>SUM(E25:E29)</f>
        <v>504</v>
      </c>
      <c r="F24" s="94">
        <f t="shared" ref="F24:J24" si="8">SUM(F25:F29)</f>
        <v>446</v>
      </c>
      <c r="G24" s="94">
        <f t="shared" si="8"/>
        <v>4</v>
      </c>
      <c r="H24" s="94">
        <f t="shared" si="8"/>
        <v>11</v>
      </c>
      <c r="I24" s="94">
        <f t="shared" si="8"/>
        <v>1</v>
      </c>
      <c r="J24" s="94">
        <f t="shared" si="8"/>
        <v>42</v>
      </c>
    </row>
    <row r="25" spans="1:10" ht="17.45" customHeight="1" x14ac:dyDescent="0.2">
      <c r="A25" s="92" t="s">
        <v>171</v>
      </c>
      <c r="B25" s="96" t="s">
        <v>27</v>
      </c>
      <c r="C25" s="97">
        <f>3+3</f>
        <v>6</v>
      </c>
      <c r="D25" s="97">
        <f>20+5</f>
        <v>25</v>
      </c>
      <c r="E25" s="97">
        <f t="shared" si="2"/>
        <v>244</v>
      </c>
      <c r="F25" s="97">
        <f>100+119</f>
        <v>219</v>
      </c>
      <c r="G25" s="97">
        <v>1</v>
      </c>
      <c r="H25" s="97">
        <v>8</v>
      </c>
      <c r="I25" s="98" t="s">
        <v>136</v>
      </c>
      <c r="J25" s="99">
        <v>16</v>
      </c>
    </row>
    <row r="26" spans="1:10" ht="17.45" customHeight="1" x14ac:dyDescent="0.2">
      <c r="A26" s="92" t="s">
        <v>173</v>
      </c>
      <c r="B26" s="96" t="s">
        <v>66</v>
      </c>
      <c r="C26" s="97">
        <v>2</v>
      </c>
      <c r="D26" s="97">
        <v>18</v>
      </c>
      <c r="E26" s="97">
        <f t="shared" si="2"/>
        <v>26</v>
      </c>
      <c r="F26" s="97">
        <v>19</v>
      </c>
      <c r="G26" s="97">
        <v>1</v>
      </c>
      <c r="H26" s="97">
        <v>1</v>
      </c>
      <c r="I26" s="98" t="s">
        <v>136</v>
      </c>
      <c r="J26" s="99">
        <v>5</v>
      </c>
    </row>
    <row r="27" spans="1:10" ht="17.45" customHeight="1" x14ac:dyDescent="0.2">
      <c r="A27" s="92" t="s">
        <v>174</v>
      </c>
      <c r="B27" s="96" t="s">
        <v>65</v>
      </c>
      <c r="C27" s="97">
        <v>4</v>
      </c>
      <c r="D27" s="97">
        <v>23</v>
      </c>
      <c r="E27" s="97">
        <f t="shared" si="2"/>
        <v>88</v>
      </c>
      <c r="F27" s="97">
        <v>77</v>
      </c>
      <c r="G27" s="97">
        <v>1</v>
      </c>
      <c r="H27" s="97">
        <v>1</v>
      </c>
      <c r="I27" s="98" t="s">
        <v>136</v>
      </c>
      <c r="J27" s="99">
        <v>9</v>
      </c>
    </row>
    <row r="28" spans="1:10" ht="17.45" customHeight="1" x14ac:dyDescent="0.2">
      <c r="A28" s="92" t="s">
        <v>175</v>
      </c>
      <c r="B28" s="96" t="s">
        <v>144</v>
      </c>
      <c r="C28" s="97">
        <v>2</v>
      </c>
      <c r="D28" s="97">
        <v>18</v>
      </c>
      <c r="E28" s="97">
        <f t="shared" si="2"/>
        <v>105</v>
      </c>
      <c r="F28" s="97">
        <v>94</v>
      </c>
      <c r="G28" s="98" t="s">
        <v>136</v>
      </c>
      <c r="H28" s="97">
        <v>1</v>
      </c>
      <c r="I28" s="98" t="s">
        <v>136</v>
      </c>
      <c r="J28" s="99">
        <v>10</v>
      </c>
    </row>
    <row r="29" spans="1:10" ht="17.45" customHeight="1" x14ac:dyDescent="0.2">
      <c r="A29" s="92" t="s">
        <v>176</v>
      </c>
      <c r="B29" s="96" t="s">
        <v>145</v>
      </c>
      <c r="C29" s="97">
        <v>2</v>
      </c>
      <c r="D29" s="97">
        <v>17</v>
      </c>
      <c r="E29" s="97">
        <f t="shared" si="2"/>
        <v>41</v>
      </c>
      <c r="F29" s="97">
        <v>37</v>
      </c>
      <c r="G29" s="97">
        <v>1</v>
      </c>
      <c r="H29" s="98" t="s">
        <v>136</v>
      </c>
      <c r="I29" s="98">
        <v>1</v>
      </c>
      <c r="J29" s="99">
        <v>2</v>
      </c>
    </row>
    <row r="30" spans="1:10" ht="17.45" customHeight="1" x14ac:dyDescent="0.2">
      <c r="A30" s="95">
        <v>9</v>
      </c>
      <c r="B30" s="93" t="s">
        <v>185</v>
      </c>
      <c r="C30" s="102">
        <f>SUM(C31:C32)</f>
        <v>6</v>
      </c>
      <c r="D30" s="102">
        <f t="shared" ref="D30:J30" si="9">SUM(D31:D32)</f>
        <v>23</v>
      </c>
      <c r="E30" s="102">
        <f t="shared" si="9"/>
        <v>1167</v>
      </c>
      <c r="F30" s="102">
        <f t="shared" si="9"/>
        <v>1133</v>
      </c>
      <c r="G30" s="102">
        <f t="shared" si="9"/>
        <v>10</v>
      </c>
      <c r="H30" s="102">
        <f t="shared" si="9"/>
        <v>23</v>
      </c>
      <c r="I30" s="102">
        <f t="shared" si="9"/>
        <v>0</v>
      </c>
      <c r="J30" s="102">
        <f t="shared" si="9"/>
        <v>1</v>
      </c>
    </row>
    <row r="31" spans="1:10" ht="17.45" customHeight="1" x14ac:dyDescent="0.2">
      <c r="A31" s="92" t="s">
        <v>171</v>
      </c>
      <c r="B31" s="96" t="s">
        <v>165</v>
      </c>
      <c r="C31" s="103">
        <v>4</v>
      </c>
      <c r="D31" s="103">
        <v>16</v>
      </c>
      <c r="E31" s="97">
        <f>SUM(F31:J31)</f>
        <v>817</v>
      </c>
      <c r="F31" s="103">
        <v>789</v>
      </c>
      <c r="G31" s="103">
        <v>6</v>
      </c>
      <c r="H31" s="103">
        <v>21</v>
      </c>
      <c r="I31" s="103" t="s">
        <v>136</v>
      </c>
      <c r="J31" s="99">
        <v>1</v>
      </c>
    </row>
    <row r="32" spans="1:10" ht="17.45" customHeight="1" x14ac:dyDescent="0.2">
      <c r="A32" s="92" t="s">
        <v>173</v>
      </c>
      <c r="B32" s="96" t="s">
        <v>186</v>
      </c>
      <c r="C32" s="103">
        <v>2</v>
      </c>
      <c r="D32" s="103">
        <v>7</v>
      </c>
      <c r="E32" s="97">
        <f>SUM(F32:J32)</f>
        <v>350</v>
      </c>
      <c r="F32" s="103">
        <v>344</v>
      </c>
      <c r="G32" s="103">
        <v>4</v>
      </c>
      <c r="H32" s="103">
        <v>2</v>
      </c>
      <c r="I32" s="104" t="s">
        <v>136</v>
      </c>
      <c r="J32" s="101" t="s">
        <v>136</v>
      </c>
    </row>
    <row r="33" spans="1:10" ht="17.45" customHeight="1" x14ac:dyDescent="0.2">
      <c r="A33" s="95">
        <v>10</v>
      </c>
      <c r="B33" s="93" t="s">
        <v>187</v>
      </c>
      <c r="C33" s="102">
        <f>SUM(C34:C35)</f>
        <v>3</v>
      </c>
      <c r="D33" s="102">
        <f t="shared" ref="D33:J33" si="10">SUM(D34:D35)</f>
        <v>9</v>
      </c>
      <c r="E33" s="102">
        <f t="shared" si="10"/>
        <v>727</v>
      </c>
      <c r="F33" s="102">
        <f t="shared" si="10"/>
        <v>702</v>
      </c>
      <c r="G33" s="102">
        <f t="shared" si="10"/>
        <v>13</v>
      </c>
      <c r="H33" s="102">
        <f t="shared" si="10"/>
        <v>4</v>
      </c>
      <c r="I33" s="102">
        <f t="shared" si="10"/>
        <v>7</v>
      </c>
      <c r="J33" s="102">
        <f t="shared" si="10"/>
        <v>1</v>
      </c>
    </row>
    <row r="34" spans="1:10" ht="17.45" customHeight="1" x14ac:dyDescent="0.2">
      <c r="A34" s="92" t="s">
        <v>171</v>
      </c>
      <c r="B34" s="96" t="s">
        <v>151</v>
      </c>
      <c r="C34" s="103">
        <v>2</v>
      </c>
      <c r="D34" s="103">
        <v>8</v>
      </c>
      <c r="E34" s="97">
        <f>SUM(F34:J34)</f>
        <v>475</v>
      </c>
      <c r="F34" s="103">
        <v>451</v>
      </c>
      <c r="G34" s="103">
        <v>13</v>
      </c>
      <c r="H34" s="103">
        <v>4</v>
      </c>
      <c r="I34" s="103">
        <v>7</v>
      </c>
      <c r="J34" s="101" t="s">
        <v>136</v>
      </c>
    </row>
    <row r="35" spans="1:10" ht="17.45" customHeight="1" x14ac:dyDescent="0.2">
      <c r="A35" s="92" t="s">
        <v>173</v>
      </c>
      <c r="B35" s="96" t="s">
        <v>152</v>
      </c>
      <c r="C35" s="103">
        <v>1</v>
      </c>
      <c r="D35" s="103">
        <v>1</v>
      </c>
      <c r="E35" s="97">
        <f>SUM(F35:J35)</f>
        <v>252</v>
      </c>
      <c r="F35" s="103">
        <v>251</v>
      </c>
      <c r="G35" s="103" t="s">
        <v>136</v>
      </c>
      <c r="H35" s="103" t="s">
        <v>136</v>
      </c>
      <c r="I35" s="103" t="s">
        <v>136</v>
      </c>
      <c r="J35" s="99">
        <v>1</v>
      </c>
    </row>
    <row r="36" spans="1:10" ht="17.45" customHeight="1" x14ac:dyDescent="0.2">
      <c r="A36" s="95">
        <v>11</v>
      </c>
      <c r="B36" s="93" t="s">
        <v>51</v>
      </c>
      <c r="C36" s="94">
        <f>SUM(C37:C38)</f>
        <v>3</v>
      </c>
      <c r="D36" s="94">
        <f>SUM(D37:D38)</f>
        <v>20</v>
      </c>
      <c r="E36" s="94">
        <f>SUM(E37:E38)</f>
        <v>49</v>
      </c>
      <c r="F36" s="94">
        <f t="shared" ref="F36:J36" si="11">SUM(F37:F38)</f>
        <v>46</v>
      </c>
      <c r="G36" s="94">
        <f t="shared" si="11"/>
        <v>1</v>
      </c>
      <c r="H36" s="94">
        <f t="shared" si="11"/>
        <v>2</v>
      </c>
      <c r="I36" s="94">
        <f t="shared" si="11"/>
        <v>0</v>
      </c>
      <c r="J36" s="94">
        <f t="shared" si="11"/>
        <v>0</v>
      </c>
    </row>
    <row r="37" spans="1:10" ht="17.45" customHeight="1" x14ac:dyDescent="0.2">
      <c r="A37" s="92" t="s">
        <v>171</v>
      </c>
      <c r="B37" s="96" t="s">
        <v>20</v>
      </c>
      <c r="C37" s="97">
        <v>1</v>
      </c>
      <c r="D37" s="97">
        <v>12</v>
      </c>
      <c r="E37" s="97">
        <f t="shared" si="2"/>
        <v>35</v>
      </c>
      <c r="F37" s="97">
        <v>34</v>
      </c>
      <c r="G37" s="97">
        <v>1</v>
      </c>
      <c r="H37" s="98" t="s">
        <v>136</v>
      </c>
      <c r="I37" s="98" t="s">
        <v>136</v>
      </c>
      <c r="J37" s="101" t="s">
        <v>136</v>
      </c>
    </row>
    <row r="38" spans="1:10" ht="17.45" customHeight="1" x14ac:dyDescent="0.2">
      <c r="A38" s="92" t="s">
        <v>173</v>
      </c>
      <c r="B38" s="96" t="s">
        <v>143</v>
      </c>
      <c r="C38" s="97">
        <v>2</v>
      </c>
      <c r="D38" s="97">
        <v>8</v>
      </c>
      <c r="E38" s="97">
        <f t="shared" si="2"/>
        <v>14</v>
      </c>
      <c r="F38" s="97">
        <v>12</v>
      </c>
      <c r="G38" s="98" t="s">
        <v>136</v>
      </c>
      <c r="H38" s="98">
        <v>2</v>
      </c>
      <c r="I38" s="98" t="s">
        <v>136</v>
      </c>
      <c r="J38" s="101" t="s">
        <v>136</v>
      </c>
    </row>
    <row r="39" spans="1:10" ht="15.75" customHeight="1" x14ac:dyDescent="0.2">
      <c r="J39" s="105" t="s">
        <v>76</v>
      </c>
    </row>
    <row r="40" spans="1:10" ht="54.95" customHeight="1" x14ac:dyDescent="0.2">
      <c r="A40" s="134" t="s">
        <v>192</v>
      </c>
      <c r="B40" s="134"/>
      <c r="C40" s="134"/>
      <c r="D40" s="134"/>
      <c r="E40" s="134"/>
      <c r="F40" s="134"/>
      <c r="G40" s="134"/>
      <c r="H40" s="134"/>
      <c r="I40" s="134"/>
      <c r="J40" s="134"/>
    </row>
    <row r="41" spans="1:10" s="59" customFormat="1" ht="12" x14ac:dyDescent="0.2">
      <c r="B41" s="135" t="s">
        <v>111</v>
      </c>
      <c r="C41" s="135"/>
      <c r="D41" s="135"/>
      <c r="E41" s="135"/>
      <c r="F41" s="135"/>
      <c r="G41" s="135"/>
      <c r="H41" s="135"/>
      <c r="I41" s="135"/>
      <c r="J41" s="135"/>
    </row>
    <row r="42" spans="1:10" ht="20.100000000000001" customHeight="1" x14ac:dyDescent="0.2">
      <c r="A42" s="133" t="s">
        <v>170</v>
      </c>
      <c r="B42" s="133" t="s">
        <v>169</v>
      </c>
      <c r="C42" s="133" t="s">
        <v>85</v>
      </c>
      <c r="D42" s="133" t="s">
        <v>42</v>
      </c>
      <c r="E42" s="133" t="s">
        <v>159</v>
      </c>
      <c r="F42" s="133"/>
      <c r="G42" s="133"/>
      <c r="H42" s="133"/>
      <c r="I42" s="133"/>
      <c r="J42" s="133"/>
    </row>
    <row r="43" spans="1:10" ht="25.5" x14ac:dyDescent="0.2">
      <c r="A43" s="133"/>
      <c r="B43" s="133"/>
      <c r="C43" s="133"/>
      <c r="D43" s="133"/>
      <c r="E43" s="72" t="s">
        <v>154</v>
      </c>
      <c r="F43" s="72" t="s">
        <v>155</v>
      </c>
      <c r="G43" s="72" t="s">
        <v>156</v>
      </c>
      <c r="H43" s="72" t="s">
        <v>157</v>
      </c>
      <c r="I43" s="72" t="s">
        <v>13</v>
      </c>
      <c r="J43" s="72" t="s">
        <v>158</v>
      </c>
    </row>
    <row r="44" spans="1:10" ht="17.45" customHeight="1" x14ac:dyDescent="0.2">
      <c r="A44" s="95">
        <v>12</v>
      </c>
      <c r="B44" s="93" t="s">
        <v>56</v>
      </c>
      <c r="C44" s="94">
        <f>SUM(C45:C46)</f>
        <v>6</v>
      </c>
      <c r="D44" s="94">
        <f t="shared" ref="D44:J44" si="12">SUM(D45:D46)</f>
        <v>73</v>
      </c>
      <c r="E44" s="94">
        <f t="shared" si="12"/>
        <v>362</v>
      </c>
      <c r="F44" s="94">
        <f t="shared" si="12"/>
        <v>333</v>
      </c>
      <c r="G44" s="94">
        <f t="shared" si="12"/>
        <v>3</v>
      </c>
      <c r="H44" s="94">
        <f t="shared" si="12"/>
        <v>8</v>
      </c>
      <c r="I44" s="94">
        <f t="shared" si="12"/>
        <v>0</v>
      </c>
      <c r="J44" s="94">
        <f t="shared" si="12"/>
        <v>18</v>
      </c>
    </row>
    <row r="45" spans="1:10" ht="17.45" customHeight="1" x14ac:dyDescent="0.2">
      <c r="A45" s="92" t="s">
        <v>171</v>
      </c>
      <c r="B45" s="96" t="s">
        <v>23</v>
      </c>
      <c r="C45" s="97">
        <v>4</v>
      </c>
      <c r="D45" s="97">
        <v>54</v>
      </c>
      <c r="E45" s="97">
        <f>SUM(F45:J45)</f>
        <v>295</v>
      </c>
      <c r="F45" s="97">
        <v>268</v>
      </c>
      <c r="G45" s="97">
        <v>2</v>
      </c>
      <c r="H45" s="97">
        <v>7</v>
      </c>
      <c r="I45" s="98" t="s">
        <v>136</v>
      </c>
      <c r="J45" s="99">
        <v>18</v>
      </c>
    </row>
    <row r="46" spans="1:10" ht="17.45" customHeight="1" x14ac:dyDescent="0.2">
      <c r="A46" s="92" t="s">
        <v>173</v>
      </c>
      <c r="B46" s="96" t="s">
        <v>162</v>
      </c>
      <c r="C46" s="97">
        <v>2</v>
      </c>
      <c r="D46" s="97">
        <v>19</v>
      </c>
      <c r="E46" s="97">
        <f>SUM(F46:J46)</f>
        <v>67</v>
      </c>
      <c r="F46" s="97">
        <v>65</v>
      </c>
      <c r="G46" s="97">
        <v>1</v>
      </c>
      <c r="H46" s="97">
        <v>1</v>
      </c>
      <c r="I46" s="98" t="s">
        <v>136</v>
      </c>
      <c r="J46" s="101" t="s">
        <v>136</v>
      </c>
    </row>
    <row r="47" spans="1:10" ht="17.45" customHeight="1" x14ac:dyDescent="0.2">
      <c r="A47" s="95">
        <v>13</v>
      </c>
      <c r="B47" s="93" t="s">
        <v>52</v>
      </c>
      <c r="C47" s="94">
        <f>SUM(C48:C50)</f>
        <v>5</v>
      </c>
      <c r="D47" s="94">
        <f>SUM(D48:D50)</f>
        <v>36</v>
      </c>
      <c r="E47" s="94">
        <f>SUM(E48:E50)</f>
        <v>120</v>
      </c>
      <c r="F47" s="94">
        <f t="shared" ref="F47:J47" si="13">SUM(F48:F50)</f>
        <v>111</v>
      </c>
      <c r="G47" s="94">
        <f t="shared" si="13"/>
        <v>1</v>
      </c>
      <c r="H47" s="94">
        <f t="shared" si="13"/>
        <v>5</v>
      </c>
      <c r="I47" s="94">
        <f t="shared" si="13"/>
        <v>2</v>
      </c>
      <c r="J47" s="94">
        <f t="shared" si="13"/>
        <v>1</v>
      </c>
    </row>
    <row r="48" spans="1:10" ht="17.45" customHeight="1" x14ac:dyDescent="0.2">
      <c r="A48" s="92" t="s">
        <v>171</v>
      </c>
      <c r="B48" s="96" t="s">
        <v>21</v>
      </c>
      <c r="C48" s="97">
        <v>2</v>
      </c>
      <c r="D48" s="97">
        <v>17</v>
      </c>
      <c r="E48" s="97">
        <f t="shared" ref="E48:E53" si="14">SUM(F48:J48)</f>
        <v>53</v>
      </c>
      <c r="F48" s="97">
        <v>48</v>
      </c>
      <c r="G48" s="97">
        <v>1</v>
      </c>
      <c r="H48" s="97">
        <v>3</v>
      </c>
      <c r="I48" s="97">
        <v>1</v>
      </c>
      <c r="J48" s="101" t="s">
        <v>136</v>
      </c>
    </row>
    <row r="49" spans="1:10" ht="17.45" customHeight="1" x14ac:dyDescent="0.2">
      <c r="A49" s="92" t="s">
        <v>173</v>
      </c>
      <c r="B49" s="96" t="s">
        <v>53</v>
      </c>
      <c r="C49" s="97">
        <v>1</v>
      </c>
      <c r="D49" s="97">
        <v>11</v>
      </c>
      <c r="E49" s="97">
        <f t="shared" si="14"/>
        <v>52</v>
      </c>
      <c r="F49" s="97">
        <v>49</v>
      </c>
      <c r="G49" s="98" t="s">
        <v>136</v>
      </c>
      <c r="H49" s="97">
        <v>1</v>
      </c>
      <c r="I49" s="97">
        <v>1</v>
      </c>
      <c r="J49" s="101">
        <v>1</v>
      </c>
    </row>
    <row r="50" spans="1:10" ht="17.45" customHeight="1" x14ac:dyDescent="0.2">
      <c r="A50" s="92" t="s">
        <v>174</v>
      </c>
      <c r="B50" s="96" t="s">
        <v>54</v>
      </c>
      <c r="C50" s="97">
        <v>2</v>
      </c>
      <c r="D50" s="97">
        <v>8</v>
      </c>
      <c r="E50" s="97">
        <f t="shared" si="14"/>
        <v>15</v>
      </c>
      <c r="F50" s="97">
        <v>14</v>
      </c>
      <c r="G50" s="98" t="s">
        <v>136</v>
      </c>
      <c r="H50" s="97">
        <v>1</v>
      </c>
      <c r="I50" s="98" t="s">
        <v>136</v>
      </c>
      <c r="J50" s="101" t="s">
        <v>136</v>
      </c>
    </row>
    <row r="51" spans="1:10" ht="17.45" customHeight="1" x14ac:dyDescent="0.2">
      <c r="A51" s="95">
        <v>14</v>
      </c>
      <c r="B51" s="93" t="s">
        <v>160</v>
      </c>
      <c r="C51" s="99">
        <v>19</v>
      </c>
      <c r="D51" s="99">
        <v>70</v>
      </c>
      <c r="E51" s="94">
        <f t="shared" si="14"/>
        <v>1555</v>
      </c>
      <c r="F51" s="99">
        <v>1554</v>
      </c>
      <c r="G51" s="101" t="s">
        <v>136</v>
      </c>
      <c r="H51" s="99">
        <v>1</v>
      </c>
      <c r="I51" s="103" t="s">
        <v>136</v>
      </c>
      <c r="J51" s="103" t="s">
        <v>136</v>
      </c>
    </row>
    <row r="52" spans="1:10" ht="17.45" customHeight="1" x14ac:dyDescent="0.2">
      <c r="A52" s="95">
        <v>15</v>
      </c>
      <c r="B52" s="93" t="s">
        <v>50</v>
      </c>
      <c r="C52" s="94">
        <f>SUM(C53)</f>
        <v>5</v>
      </c>
      <c r="D52" s="94">
        <f>SUM(D53)</f>
        <v>45</v>
      </c>
      <c r="E52" s="94">
        <f t="shared" si="14"/>
        <v>433</v>
      </c>
      <c r="F52" s="94">
        <f>SUM(F53)</f>
        <v>368</v>
      </c>
      <c r="G52" s="94">
        <f t="shared" ref="G52:J52" si="15">SUM(G53)</f>
        <v>10</v>
      </c>
      <c r="H52" s="94">
        <f t="shared" si="15"/>
        <v>18</v>
      </c>
      <c r="I52" s="94">
        <f t="shared" si="15"/>
        <v>0</v>
      </c>
      <c r="J52" s="94">
        <f t="shared" si="15"/>
        <v>37</v>
      </c>
    </row>
    <row r="53" spans="1:10" ht="17.45" customHeight="1" x14ac:dyDescent="0.2">
      <c r="A53" s="92" t="s">
        <v>171</v>
      </c>
      <c r="B53" s="96" t="s">
        <v>19</v>
      </c>
      <c r="C53" s="97">
        <f>4+1</f>
        <v>5</v>
      </c>
      <c r="D53" s="97">
        <f>42+3</f>
        <v>45</v>
      </c>
      <c r="E53" s="97">
        <f t="shared" si="14"/>
        <v>433</v>
      </c>
      <c r="F53" s="97">
        <f>125+243</f>
        <v>368</v>
      </c>
      <c r="G53" s="97">
        <f>9+1</f>
        <v>10</v>
      </c>
      <c r="H53" s="97">
        <f>11+7</f>
        <v>18</v>
      </c>
      <c r="I53" s="98" t="s">
        <v>136</v>
      </c>
      <c r="J53" s="99">
        <f>3+34</f>
        <v>37</v>
      </c>
    </row>
    <row r="54" spans="1:10" ht="17.45" customHeight="1" x14ac:dyDescent="0.2">
      <c r="A54" s="95">
        <v>16</v>
      </c>
      <c r="B54" s="93" t="s">
        <v>60</v>
      </c>
      <c r="C54" s="100">
        <f>SUM(C55:C57)</f>
        <v>3</v>
      </c>
      <c r="D54" s="100">
        <f t="shared" ref="D54:J54" si="16">SUM(D55:D57)</f>
        <v>36</v>
      </c>
      <c r="E54" s="100">
        <f t="shared" si="16"/>
        <v>1208</v>
      </c>
      <c r="F54" s="100">
        <f t="shared" si="16"/>
        <v>1199</v>
      </c>
      <c r="G54" s="100">
        <f t="shared" si="16"/>
        <v>0</v>
      </c>
      <c r="H54" s="100">
        <f t="shared" si="16"/>
        <v>4</v>
      </c>
      <c r="I54" s="100">
        <f t="shared" si="16"/>
        <v>5</v>
      </c>
      <c r="J54" s="100">
        <f t="shared" si="16"/>
        <v>0</v>
      </c>
    </row>
    <row r="55" spans="1:10" ht="17.45" customHeight="1" x14ac:dyDescent="0.2">
      <c r="A55" s="92" t="s">
        <v>171</v>
      </c>
      <c r="B55" s="96" t="s">
        <v>148</v>
      </c>
      <c r="C55" s="98">
        <v>1</v>
      </c>
      <c r="D55" s="98">
        <v>16</v>
      </c>
      <c r="E55" s="97">
        <f>SUM(F55:J55)</f>
        <v>471</v>
      </c>
      <c r="F55" s="98">
        <v>466</v>
      </c>
      <c r="G55" s="98" t="s">
        <v>136</v>
      </c>
      <c r="H55" s="98">
        <v>1</v>
      </c>
      <c r="I55" s="98">
        <v>4</v>
      </c>
      <c r="J55" s="101" t="s">
        <v>136</v>
      </c>
    </row>
    <row r="56" spans="1:10" ht="17.45" customHeight="1" x14ac:dyDescent="0.2">
      <c r="A56" s="92" t="s">
        <v>173</v>
      </c>
      <c r="B56" s="96" t="s">
        <v>167</v>
      </c>
      <c r="C56" s="98">
        <v>1</v>
      </c>
      <c r="D56" s="98">
        <v>10</v>
      </c>
      <c r="E56" s="97">
        <f>SUM(F56:J56)</f>
        <v>348</v>
      </c>
      <c r="F56" s="98">
        <v>344</v>
      </c>
      <c r="G56" s="98" t="s">
        <v>136</v>
      </c>
      <c r="H56" s="98">
        <v>3</v>
      </c>
      <c r="I56" s="98">
        <v>1</v>
      </c>
      <c r="J56" s="101" t="s">
        <v>136</v>
      </c>
    </row>
    <row r="57" spans="1:10" ht="17.45" customHeight="1" x14ac:dyDescent="0.2">
      <c r="A57" s="92" t="s">
        <v>174</v>
      </c>
      <c r="B57" s="96" t="s">
        <v>149</v>
      </c>
      <c r="C57" s="98">
        <v>1</v>
      </c>
      <c r="D57" s="98">
        <v>10</v>
      </c>
      <c r="E57" s="97">
        <f>SUM(F57:J57)</f>
        <v>389</v>
      </c>
      <c r="F57" s="98">
        <v>389</v>
      </c>
      <c r="G57" s="98" t="s">
        <v>136</v>
      </c>
      <c r="H57" s="98" t="s">
        <v>136</v>
      </c>
      <c r="I57" s="98" t="s">
        <v>136</v>
      </c>
      <c r="J57" s="101" t="s">
        <v>136</v>
      </c>
    </row>
    <row r="58" spans="1:10" ht="17.45" customHeight="1" x14ac:dyDescent="0.2">
      <c r="A58" s="95">
        <v>17</v>
      </c>
      <c r="B58" s="93" t="s">
        <v>188</v>
      </c>
      <c r="C58" s="98" t="s">
        <v>136</v>
      </c>
      <c r="D58" s="98" t="s">
        <v>136</v>
      </c>
      <c r="E58" s="98" t="s">
        <v>136</v>
      </c>
      <c r="F58" s="98" t="s">
        <v>136</v>
      </c>
      <c r="G58" s="98" t="s">
        <v>136</v>
      </c>
      <c r="H58" s="98" t="s">
        <v>136</v>
      </c>
      <c r="I58" s="98" t="s">
        <v>136</v>
      </c>
      <c r="J58" s="98" t="s">
        <v>136</v>
      </c>
    </row>
    <row r="59" spans="1:10" ht="17.45" customHeight="1" x14ac:dyDescent="0.2">
      <c r="A59" s="95">
        <v>18</v>
      </c>
      <c r="B59" s="93" t="s">
        <v>63</v>
      </c>
      <c r="C59" s="94">
        <f>SUM(C60:C61)</f>
        <v>6</v>
      </c>
      <c r="D59" s="94">
        <f>SUM(D60:D61)</f>
        <v>67</v>
      </c>
      <c r="E59" s="94">
        <f>SUM(E60:E61)</f>
        <v>255</v>
      </c>
      <c r="F59" s="94">
        <f t="shared" ref="F59:J59" si="17">SUM(F60:F61)</f>
        <v>248</v>
      </c>
      <c r="G59" s="94">
        <f t="shared" si="17"/>
        <v>4</v>
      </c>
      <c r="H59" s="94">
        <f t="shared" si="17"/>
        <v>2</v>
      </c>
      <c r="I59" s="94">
        <f t="shared" si="17"/>
        <v>0</v>
      </c>
      <c r="J59" s="94">
        <f t="shared" si="17"/>
        <v>1</v>
      </c>
    </row>
    <row r="60" spans="1:10" ht="17.45" customHeight="1" x14ac:dyDescent="0.2">
      <c r="A60" s="92" t="s">
        <v>171</v>
      </c>
      <c r="B60" s="96" t="s">
        <v>146</v>
      </c>
      <c r="C60" s="97">
        <f>4+1</f>
        <v>5</v>
      </c>
      <c r="D60" s="97">
        <f>46+9</f>
        <v>55</v>
      </c>
      <c r="E60" s="97">
        <f>SUM(F60:J60)</f>
        <v>189</v>
      </c>
      <c r="F60" s="97">
        <f>92+91</f>
        <v>183</v>
      </c>
      <c r="G60" s="97">
        <v>3</v>
      </c>
      <c r="H60" s="97">
        <v>2</v>
      </c>
      <c r="I60" s="98" t="s">
        <v>136</v>
      </c>
      <c r="J60" s="99">
        <v>1</v>
      </c>
    </row>
    <row r="61" spans="1:10" ht="17.45" customHeight="1" x14ac:dyDescent="0.2">
      <c r="A61" s="92" t="s">
        <v>173</v>
      </c>
      <c r="B61" s="96" t="s">
        <v>147</v>
      </c>
      <c r="C61" s="97">
        <v>1</v>
      </c>
      <c r="D61" s="97">
        <v>12</v>
      </c>
      <c r="E61" s="97">
        <f>SUM(F61:J61)</f>
        <v>66</v>
      </c>
      <c r="F61" s="97">
        <v>65</v>
      </c>
      <c r="G61" s="97">
        <v>1</v>
      </c>
      <c r="H61" s="98" t="s">
        <v>136</v>
      </c>
      <c r="I61" s="98" t="s">
        <v>136</v>
      </c>
      <c r="J61" s="101" t="s">
        <v>136</v>
      </c>
    </row>
    <row r="62" spans="1:10" ht="17.45" customHeight="1" x14ac:dyDescent="0.2">
      <c r="A62" s="95">
        <v>19</v>
      </c>
      <c r="B62" s="93" t="s">
        <v>73</v>
      </c>
      <c r="C62" s="102">
        <f>SUM(C63)</f>
        <v>2</v>
      </c>
      <c r="D62" s="102">
        <f t="shared" ref="D62" si="18">SUM(D63)</f>
        <v>17</v>
      </c>
      <c r="E62" s="102">
        <f>SUM(E63)</f>
        <v>212</v>
      </c>
      <c r="F62" s="102">
        <f t="shared" ref="F62:J62" si="19">SUM(F63)</f>
        <v>188</v>
      </c>
      <c r="G62" s="102">
        <f t="shared" si="19"/>
        <v>20</v>
      </c>
      <c r="H62" s="102">
        <f t="shared" si="19"/>
        <v>4</v>
      </c>
      <c r="I62" s="102">
        <f t="shared" si="19"/>
        <v>0</v>
      </c>
      <c r="J62" s="102">
        <f t="shared" si="19"/>
        <v>0</v>
      </c>
    </row>
    <row r="63" spans="1:10" ht="17.45" customHeight="1" x14ac:dyDescent="0.2">
      <c r="A63" s="92" t="s">
        <v>171</v>
      </c>
      <c r="B63" s="106" t="s">
        <v>164</v>
      </c>
      <c r="C63" s="103">
        <v>2</v>
      </c>
      <c r="D63" s="103">
        <v>17</v>
      </c>
      <c r="E63" s="97">
        <f>SUM(F63:J63)</f>
        <v>212</v>
      </c>
      <c r="F63" s="103">
        <v>188</v>
      </c>
      <c r="G63" s="103">
        <v>20</v>
      </c>
      <c r="H63" s="103">
        <v>4</v>
      </c>
      <c r="I63" s="103" t="s">
        <v>136</v>
      </c>
      <c r="J63" s="101" t="s">
        <v>136</v>
      </c>
    </row>
    <row r="64" spans="1:10" ht="17.45" customHeight="1" x14ac:dyDescent="0.2">
      <c r="A64" s="95">
        <v>20</v>
      </c>
      <c r="B64" s="93" t="s">
        <v>57</v>
      </c>
      <c r="C64" s="107">
        <f>SUM(C65:C67)</f>
        <v>10</v>
      </c>
      <c r="D64" s="107">
        <f t="shared" ref="D64:J64" si="20">SUM(D65:D67)</f>
        <v>83</v>
      </c>
      <c r="E64" s="107">
        <f t="shared" si="20"/>
        <v>396</v>
      </c>
      <c r="F64" s="107">
        <f t="shared" si="20"/>
        <v>379</v>
      </c>
      <c r="G64" s="107">
        <f t="shared" si="20"/>
        <v>0</v>
      </c>
      <c r="H64" s="107">
        <f t="shared" si="20"/>
        <v>10</v>
      </c>
      <c r="I64" s="107">
        <f t="shared" si="20"/>
        <v>1</v>
      </c>
      <c r="J64" s="107">
        <f t="shared" si="20"/>
        <v>6</v>
      </c>
    </row>
    <row r="65" spans="1:10" ht="17.45" customHeight="1" x14ac:dyDescent="0.2">
      <c r="A65" s="92" t="s">
        <v>171</v>
      </c>
      <c r="B65" s="96" t="s">
        <v>24</v>
      </c>
      <c r="C65" s="108">
        <v>6</v>
      </c>
      <c r="D65" s="108">
        <v>49</v>
      </c>
      <c r="E65" s="97">
        <f t="shared" ref="E65:E97" si="21">SUM(F65:J65)</f>
        <v>256</v>
      </c>
      <c r="F65" s="108">
        <v>244</v>
      </c>
      <c r="G65" s="103" t="s">
        <v>136</v>
      </c>
      <c r="H65" s="108">
        <v>9</v>
      </c>
      <c r="I65" s="108">
        <v>1</v>
      </c>
      <c r="J65" s="99">
        <v>2</v>
      </c>
    </row>
    <row r="66" spans="1:10" ht="17.45" customHeight="1" x14ac:dyDescent="0.2">
      <c r="A66" s="92" t="s">
        <v>173</v>
      </c>
      <c r="B66" s="96" t="s">
        <v>163</v>
      </c>
      <c r="C66" s="108">
        <v>2</v>
      </c>
      <c r="D66" s="108">
        <v>16</v>
      </c>
      <c r="E66" s="97">
        <f t="shared" si="21"/>
        <v>65</v>
      </c>
      <c r="F66" s="108">
        <v>63</v>
      </c>
      <c r="G66" s="103" t="s">
        <v>136</v>
      </c>
      <c r="H66" s="108">
        <v>1</v>
      </c>
      <c r="I66" s="103" t="s">
        <v>136</v>
      </c>
      <c r="J66" s="99">
        <v>1</v>
      </c>
    </row>
    <row r="67" spans="1:10" ht="17.45" customHeight="1" x14ac:dyDescent="0.2">
      <c r="A67" s="92" t="s">
        <v>174</v>
      </c>
      <c r="B67" s="96" t="s">
        <v>58</v>
      </c>
      <c r="C67" s="108">
        <v>2</v>
      </c>
      <c r="D67" s="108">
        <v>18</v>
      </c>
      <c r="E67" s="97">
        <f t="shared" si="21"/>
        <v>75</v>
      </c>
      <c r="F67" s="108">
        <v>72</v>
      </c>
      <c r="G67" s="103" t="s">
        <v>136</v>
      </c>
      <c r="H67" s="103" t="s">
        <v>136</v>
      </c>
      <c r="I67" s="103" t="s">
        <v>136</v>
      </c>
      <c r="J67" s="99">
        <v>3</v>
      </c>
    </row>
    <row r="68" spans="1:10" ht="17.45" customHeight="1" x14ac:dyDescent="0.2">
      <c r="A68" s="95">
        <v>21</v>
      </c>
      <c r="B68" s="93" t="s">
        <v>47</v>
      </c>
      <c r="C68" s="107">
        <f>SUM(C69:C70)</f>
        <v>4</v>
      </c>
      <c r="D68" s="107">
        <f>SUM(D69:D70)</f>
        <v>57</v>
      </c>
      <c r="E68" s="94">
        <f t="shared" si="21"/>
        <v>172</v>
      </c>
      <c r="F68" s="94">
        <f>SUM(F69:F70)</f>
        <v>149</v>
      </c>
      <c r="G68" s="94">
        <f t="shared" ref="G68:J68" si="22">SUM(G69:G70)</f>
        <v>7</v>
      </c>
      <c r="H68" s="94">
        <f t="shared" si="22"/>
        <v>12</v>
      </c>
      <c r="I68" s="94">
        <f t="shared" si="22"/>
        <v>0</v>
      </c>
      <c r="J68" s="94">
        <f t="shared" si="22"/>
        <v>4</v>
      </c>
    </row>
    <row r="69" spans="1:10" ht="17.45" customHeight="1" x14ac:dyDescent="0.2">
      <c r="A69" s="92" t="s">
        <v>171</v>
      </c>
      <c r="B69" s="96" t="s">
        <v>17</v>
      </c>
      <c r="C69" s="108">
        <v>3</v>
      </c>
      <c r="D69" s="108">
        <v>45</v>
      </c>
      <c r="E69" s="97">
        <f t="shared" si="21"/>
        <v>134</v>
      </c>
      <c r="F69" s="108">
        <v>117</v>
      </c>
      <c r="G69" s="108">
        <v>5</v>
      </c>
      <c r="H69" s="108">
        <v>8</v>
      </c>
      <c r="I69" s="103" t="s">
        <v>136</v>
      </c>
      <c r="J69" s="99">
        <v>4</v>
      </c>
    </row>
    <row r="70" spans="1:10" ht="17.45" customHeight="1" x14ac:dyDescent="0.2">
      <c r="A70" s="92" t="s">
        <v>173</v>
      </c>
      <c r="B70" s="96" t="s">
        <v>48</v>
      </c>
      <c r="C70" s="108">
        <v>1</v>
      </c>
      <c r="D70" s="108">
        <v>12</v>
      </c>
      <c r="E70" s="97">
        <f t="shared" si="21"/>
        <v>38</v>
      </c>
      <c r="F70" s="108">
        <v>32</v>
      </c>
      <c r="G70" s="108">
        <v>2</v>
      </c>
      <c r="H70" s="108">
        <v>4</v>
      </c>
      <c r="I70" s="103" t="s">
        <v>136</v>
      </c>
      <c r="J70" s="101" t="s">
        <v>136</v>
      </c>
    </row>
    <row r="71" spans="1:10" s="59" customFormat="1" ht="17.45" customHeight="1" x14ac:dyDescent="0.2">
      <c r="A71" s="109">
        <v>22</v>
      </c>
      <c r="B71" s="93" t="s">
        <v>161</v>
      </c>
      <c r="C71" s="110">
        <v>26</v>
      </c>
      <c r="D71" s="110">
        <v>90</v>
      </c>
      <c r="E71" s="94">
        <f>SUM(F71:J71)</f>
        <v>713</v>
      </c>
      <c r="F71" s="110">
        <v>705</v>
      </c>
      <c r="G71" s="110">
        <v>2</v>
      </c>
      <c r="H71" s="111" t="s">
        <v>136</v>
      </c>
      <c r="I71" s="111" t="s">
        <v>136</v>
      </c>
      <c r="J71" s="110">
        <v>6</v>
      </c>
    </row>
    <row r="72" spans="1:10" s="59" customFormat="1" ht="17.45" customHeight="1" x14ac:dyDescent="0.2">
      <c r="A72" s="109">
        <v>23</v>
      </c>
      <c r="B72" s="93" t="s">
        <v>189</v>
      </c>
      <c r="C72" s="111" t="s">
        <v>136</v>
      </c>
      <c r="D72" s="111" t="s">
        <v>136</v>
      </c>
      <c r="E72" s="111" t="s">
        <v>136</v>
      </c>
      <c r="F72" s="111" t="s">
        <v>136</v>
      </c>
      <c r="G72" s="111" t="s">
        <v>136</v>
      </c>
      <c r="H72" s="111" t="s">
        <v>136</v>
      </c>
      <c r="I72" s="111" t="s">
        <v>136</v>
      </c>
      <c r="J72" s="111" t="s">
        <v>136</v>
      </c>
    </row>
    <row r="73" spans="1:10" ht="17.45" customHeight="1" x14ac:dyDescent="0.2">
      <c r="A73" s="95">
        <v>24</v>
      </c>
      <c r="B73" s="93" t="s">
        <v>44</v>
      </c>
      <c r="C73" s="107">
        <f>SUM(C74)</f>
        <v>3</v>
      </c>
      <c r="D73" s="107">
        <f>SUM(D74)</f>
        <v>48</v>
      </c>
      <c r="E73" s="94">
        <f t="shared" si="21"/>
        <v>158</v>
      </c>
      <c r="F73" s="107">
        <f>SUM(F74)</f>
        <v>130</v>
      </c>
      <c r="G73" s="107">
        <f>SUM(G74)</f>
        <v>4</v>
      </c>
      <c r="H73" s="107">
        <f t="shared" ref="H73:J73" si="23">SUM(H74)</f>
        <v>7</v>
      </c>
      <c r="I73" s="107">
        <f t="shared" si="23"/>
        <v>8</v>
      </c>
      <c r="J73" s="107">
        <f t="shared" si="23"/>
        <v>9</v>
      </c>
    </row>
    <row r="74" spans="1:10" ht="17.45" customHeight="1" x14ac:dyDescent="0.2">
      <c r="A74" s="92" t="s">
        <v>171</v>
      </c>
      <c r="B74" s="96" t="s">
        <v>15</v>
      </c>
      <c r="C74" s="108">
        <v>3</v>
      </c>
      <c r="D74" s="108">
        <v>48</v>
      </c>
      <c r="E74" s="97">
        <f t="shared" si="21"/>
        <v>158</v>
      </c>
      <c r="F74" s="108">
        <v>130</v>
      </c>
      <c r="G74" s="108">
        <v>4</v>
      </c>
      <c r="H74" s="108">
        <v>7</v>
      </c>
      <c r="I74" s="108">
        <v>8</v>
      </c>
      <c r="J74" s="99">
        <v>9</v>
      </c>
    </row>
    <row r="75" spans="1:10" ht="17.45" customHeight="1" x14ac:dyDescent="0.2">
      <c r="A75" s="95">
        <v>25</v>
      </c>
      <c r="B75" s="112" t="s">
        <v>190</v>
      </c>
      <c r="C75" s="103" t="s">
        <v>136</v>
      </c>
      <c r="D75" s="103" t="s">
        <v>136</v>
      </c>
      <c r="E75" s="103" t="s">
        <v>136</v>
      </c>
      <c r="F75" s="103" t="s">
        <v>136</v>
      </c>
      <c r="G75" s="103" t="s">
        <v>136</v>
      </c>
      <c r="H75" s="103" t="s">
        <v>136</v>
      </c>
      <c r="I75" s="103" t="s">
        <v>136</v>
      </c>
      <c r="J75" s="103" t="s">
        <v>136</v>
      </c>
    </row>
    <row r="76" spans="1:10" ht="17.45" customHeight="1" x14ac:dyDescent="0.2">
      <c r="A76" s="95">
        <v>26</v>
      </c>
      <c r="B76" s="93" t="s">
        <v>43</v>
      </c>
      <c r="C76" s="107">
        <f t="shared" ref="C76:J76" si="24">SUM(C77)</f>
        <v>31</v>
      </c>
      <c r="D76" s="107">
        <f t="shared" si="24"/>
        <v>133</v>
      </c>
      <c r="E76" s="94">
        <f t="shared" si="24"/>
        <v>800</v>
      </c>
      <c r="F76" s="94">
        <f t="shared" si="24"/>
        <v>757</v>
      </c>
      <c r="G76" s="107">
        <f t="shared" si="24"/>
        <v>15</v>
      </c>
      <c r="H76" s="107">
        <f t="shared" si="24"/>
        <v>28</v>
      </c>
      <c r="I76" s="107">
        <f t="shared" si="24"/>
        <v>0</v>
      </c>
      <c r="J76" s="107">
        <f t="shared" si="24"/>
        <v>0</v>
      </c>
    </row>
    <row r="77" spans="1:10" ht="17.45" customHeight="1" x14ac:dyDescent="0.2">
      <c r="A77" s="92" t="s">
        <v>171</v>
      </c>
      <c r="B77" s="96" t="s">
        <v>14</v>
      </c>
      <c r="C77" s="108">
        <f>4+27</f>
        <v>31</v>
      </c>
      <c r="D77" s="108">
        <f>94+39</f>
        <v>133</v>
      </c>
      <c r="E77" s="97">
        <f>SUM(F77:J77)</f>
        <v>800</v>
      </c>
      <c r="F77" s="108">
        <f>236+521</f>
        <v>757</v>
      </c>
      <c r="G77" s="108">
        <v>15</v>
      </c>
      <c r="H77" s="108">
        <v>28</v>
      </c>
      <c r="I77" s="103" t="s">
        <v>136</v>
      </c>
      <c r="J77" s="101" t="s">
        <v>136</v>
      </c>
    </row>
    <row r="78" spans="1:10" ht="15.95" customHeight="1" x14ac:dyDescent="0.2">
      <c r="A78" s="113"/>
      <c r="B78" s="114"/>
      <c r="C78" s="115"/>
      <c r="D78" s="115"/>
      <c r="E78" s="116"/>
      <c r="F78" s="115"/>
      <c r="G78" s="117"/>
      <c r="H78" s="117"/>
      <c r="I78" s="117"/>
      <c r="J78" s="105" t="s">
        <v>76</v>
      </c>
    </row>
    <row r="79" spans="1:10" ht="54.95" customHeight="1" x14ac:dyDescent="0.2">
      <c r="A79" s="134" t="s">
        <v>192</v>
      </c>
      <c r="B79" s="134"/>
      <c r="C79" s="134"/>
      <c r="D79" s="134"/>
      <c r="E79" s="134"/>
      <c r="F79" s="134"/>
      <c r="G79" s="134"/>
      <c r="H79" s="134"/>
      <c r="I79" s="134"/>
      <c r="J79" s="134"/>
    </row>
    <row r="80" spans="1:10" s="59" customFormat="1" ht="12" x14ac:dyDescent="0.2">
      <c r="B80" s="135" t="s">
        <v>111</v>
      </c>
      <c r="C80" s="135"/>
      <c r="D80" s="135"/>
      <c r="E80" s="135"/>
      <c r="F80" s="135"/>
      <c r="G80" s="135"/>
      <c r="H80" s="135"/>
      <c r="I80" s="135"/>
      <c r="J80" s="135"/>
    </row>
    <row r="81" spans="1:10" ht="20.100000000000001" customHeight="1" x14ac:dyDescent="0.2">
      <c r="A81" s="133" t="s">
        <v>170</v>
      </c>
      <c r="B81" s="133" t="s">
        <v>169</v>
      </c>
      <c r="C81" s="133" t="s">
        <v>75</v>
      </c>
      <c r="D81" s="133" t="s">
        <v>42</v>
      </c>
      <c r="E81" s="133" t="s">
        <v>159</v>
      </c>
      <c r="F81" s="133"/>
      <c r="G81" s="133"/>
      <c r="H81" s="133"/>
      <c r="I81" s="133"/>
      <c r="J81" s="133"/>
    </row>
    <row r="82" spans="1:10" ht="25.5" customHeight="1" x14ac:dyDescent="0.2">
      <c r="A82" s="133"/>
      <c r="B82" s="133"/>
      <c r="C82" s="133"/>
      <c r="D82" s="133"/>
      <c r="E82" s="72" t="s">
        <v>154</v>
      </c>
      <c r="F82" s="72" t="s">
        <v>155</v>
      </c>
      <c r="G82" s="72" t="s">
        <v>156</v>
      </c>
      <c r="H82" s="72" t="s">
        <v>157</v>
      </c>
      <c r="I82" s="72" t="s">
        <v>13</v>
      </c>
      <c r="J82" s="72" t="s">
        <v>158</v>
      </c>
    </row>
    <row r="83" spans="1:10" ht="17.45" customHeight="1" x14ac:dyDescent="0.2">
      <c r="A83" s="95">
        <v>27</v>
      </c>
      <c r="B83" s="112" t="s">
        <v>191</v>
      </c>
      <c r="C83" s="103" t="s">
        <v>136</v>
      </c>
      <c r="D83" s="103" t="s">
        <v>136</v>
      </c>
      <c r="E83" s="103" t="s">
        <v>136</v>
      </c>
      <c r="F83" s="103" t="s">
        <v>136</v>
      </c>
      <c r="G83" s="103" t="s">
        <v>136</v>
      </c>
      <c r="H83" s="103" t="s">
        <v>136</v>
      </c>
      <c r="I83" s="103" t="s">
        <v>136</v>
      </c>
      <c r="J83" s="103" t="s">
        <v>136</v>
      </c>
    </row>
    <row r="84" spans="1:10" ht="17.45" customHeight="1" x14ac:dyDescent="0.2">
      <c r="A84" s="95">
        <v>28</v>
      </c>
      <c r="B84" s="93" t="s">
        <v>69</v>
      </c>
      <c r="C84" s="107">
        <f t="shared" ref="C84:J84" si="25">SUM(C85:C86)</f>
        <v>3</v>
      </c>
      <c r="D84" s="107">
        <f t="shared" si="25"/>
        <v>44</v>
      </c>
      <c r="E84" s="107">
        <f t="shared" si="25"/>
        <v>111</v>
      </c>
      <c r="F84" s="107">
        <f t="shared" si="25"/>
        <v>111</v>
      </c>
      <c r="G84" s="107">
        <f t="shared" si="25"/>
        <v>0</v>
      </c>
      <c r="H84" s="107">
        <f t="shared" si="25"/>
        <v>0</v>
      </c>
      <c r="I84" s="107">
        <f t="shared" si="25"/>
        <v>0</v>
      </c>
      <c r="J84" s="107">
        <f t="shared" si="25"/>
        <v>0</v>
      </c>
    </row>
    <row r="85" spans="1:10" ht="17.45" customHeight="1" x14ac:dyDescent="0.2">
      <c r="A85" s="92" t="s">
        <v>171</v>
      </c>
      <c r="B85" s="96" t="s">
        <v>70</v>
      </c>
      <c r="C85" s="108">
        <v>2</v>
      </c>
      <c r="D85" s="108">
        <v>28</v>
      </c>
      <c r="E85" s="97">
        <f>SUM(F85:J85)</f>
        <v>62</v>
      </c>
      <c r="F85" s="108">
        <v>62</v>
      </c>
      <c r="G85" s="103" t="s">
        <v>136</v>
      </c>
      <c r="H85" s="103" t="s">
        <v>136</v>
      </c>
      <c r="I85" s="103" t="s">
        <v>136</v>
      </c>
      <c r="J85" s="103" t="s">
        <v>136</v>
      </c>
    </row>
    <row r="86" spans="1:10" ht="17.45" customHeight="1" x14ac:dyDescent="0.2">
      <c r="A86" s="92" t="s">
        <v>173</v>
      </c>
      <c r="B86" s="96" t="s">
        <v>71</v>
      </c>
      <c r="C86" s="108">
        <v>1</v>
      </c>
      <c r="D86" s="108">
        <v>16</v>
      </c>
      <c r="E86" s="97">
        <f>SUM(F86:J86)</f>
        <v>49</v>
      </c>
      <c r="F86" s="108">
        <v>49</v>
      </c>
      <c r="G86" s="103" t="s">
        <v>136</v>
      </c>
      <c r="H86" s="103" t="s">
        <v>136</v>
      </c>
      <c r="I86" s="103" t="s">
        <v>136</v>
      </c>
      <c r="J86" s="103" t="s">
        <v>136</v>
      </c>
    </row>
    <row r="87" spans="1:10" ht="17.45" customHeight="1" x14ac:dyDescent="0.2">
      <c r="A87" s="95">
        <v>29</v>
      </c>
      <c r="B87" s="93" t="s">
        <v>49</v>
      </c>
      <c r="C87" s="107">
        <f>SUM(C88:C90)</f>
        <v>6</v>
      </c>
      <c r="D87" s="107">
        <f>SUM(D88:D90)</f>
        <v>69</v>
      </c>
      <c r="E87" s="107">
        <f>SUM(E88:E90)</f>
        <v>157</v>
      </c>
      <c r="F87" s="107">
        <f>SUM(F88:F90)</f>
        <v>140</v>
      </c>
      <c r="G87" s="107">
        <f>SUM(G88:G90)</f>
        <v>5</v>
      </c>
      <c r="H87" s="107">
        <f t="shared" ref="H87:J87" si="26">SUM(H88:H90)</f>
        <v>8</v>
      </c>
      <c r="I87" s="107">
        <f t="shared" si="26"/>
        <v>1</v>
      </c>
      <c r="J87" s="107">
        <f t="shared" si="26"/>
        <v>3</v>
      </c>
    </row>
    <row r="88" spans="1:10" ht="17.45" customHeight="1" x14ac:dyDescent="0.2">
      <c r="A88" s="92" t="s">
        <v>171</v>
      </c>
      <c r="B88" s="96" t="s">
        <v>142</v>
      </c>
      <c r="C88" s="108">
        <v>2</v>
      </c>
      <c r="D88" s="108">
        <v>20</v>
      </c>
      <c r="E88" s="97">
        <f t="shared" si="21"/>
        <v>38</v>
      </c>
      <c r="F88" s="108">
        <v>32</v>
      </c>
      <c r="G88" s="108">
        <v>2</v>
      </c>
      <c r="H88" s="108">
        <v>4</v>
      </c>
      <c r="I88" s="103" t="s">
        <v>136</v>
      </c>
      <c r="J88" s="101" t="s">
        <v>136</v>
      </c>
    </row>
    <row r="89" spans="1:10" ht="17.45" customHeight="1" x14ac:dyDescent="0.2">
      <c r="A89" s="92" t="s">
        <v>173</v>
      </c>
      <c r="B89" s="96" t="s">
        <v>18</v>
      </c>
      <c r="C89" s="108">
        <v>2</v>
      </c>
      <c r="D89" s="108">
        <v>33</v>
      </c>
      <c r="E89" s="97">
        <f t="shared" si="21"/>
        <v>58</v>
      </c>
      <c r="F89" s="108">
        <v>52</v>
      </c>
      <c r="G89" s="108">
        <v>2</v>
      </c>
      <c r="H89" s="108">
        <v>4</v>
      </c>
      <c r="I89" s="103" t="s">
        <v>136</v>
      </c>
      <c r="J89" s="101" t="s">
        <v>136</v>
      </c>
    </row>
    <row r="90" spans="1:10" ht="17.45" customHeight="1" x14ac:dyDescent="0.2">
      <c r="A90" s="92" t="s">
        <v>174</v>
      </c>
      <c r="B90" s="96" t="s">
        <v>141</v>
      </c>
      <c r="C90" s="108">
        <v>2</v>
      </c>
      <c r="D90" s="108">
        <v>16</v>
      </c>
      <c r="E90" s="97">
        <f t="shared" si="21"/>
        <v>61</v>
      </c>
      <c r="F90" s="108">
        <v>56</v>
      </c>
      <c r="G90" s="108">
        <v>1</v>
      </c>
      <c r="H90" s="103" t="s">
        <v>136</v>
      </c>
      <c r="I90" s="108">
        <v>1</v>
      </c>
      <c r="J90" s="99">
        <v>3</v>
      </c>
    </row>
    <row r="91" spans="1:10" ht="17.45" customHeight="1" x14ac:dyDescent="0.2">
      <c r="A91" s="95">
        <v>30</v>
      </c>
      <c r="B91" s="93" t="s">
        <v>68</v>
      </c>
      <c r="C91" s="107">
        <f>SUM(C92:C93)</f>
        <v>9</v>
      </c>
      <c r="D91" s="107">
        <f t="shared" ref="D91:J91" si="27">SUM(D92:D93)</f>
        <v>75</v>
      </c>
      <c r="E91" s="107">
        <f t="shared" si="27"/>
        <v>219</v>
      </c>
      <c r="F91" s="107">
        <f t="shared" si="27"/>
        <v>208</v>
      </c>
      <c r="G91" s="107">
        <f t="shared" si="27"/>
        <v>3</v>
      </c>
      <c r="H91" s="107">
        <f t="shared" si="27"/>
        <v>8</v>
      </c>
      <c r="I91" s="107">
        <f t="shared" si="27"/>
        <v>0</v>
      </c>
      <c r="J91" s="107">
        <f t="shared" si="27"/>
        <v>0</v>
      </c>
    </row>
    <row r="92" spans="1:10" ht="17.45" customHeight="1" x14ac:dyDescent="0.2">
      <c r="A92" s="92" t="s">
        <v>171</v>
      </c>
      <c r="B92" s="96" t="s">
        <v>32</v>
      </c>
      <c r="C92" s="108">
        <v>7</v>
      </c>
      <c r="D92" s="108">
        <v>56</v>
      </c>
      <c r="E92" s="97">
        <f t="shared" si="21"/>
        <v>179</v>
      </c>
      <c r="F92" s="108">
        <v>169</v>
      </c>
      <c r="G92" s="108">
        <v>3</v>
      </c>
      <c r="H92" s="108">
        <v>7</v>
      </c>
      <c r="I92" s="103" t="s">
        <v>136</v>
      </c>
      <c r="J92" s="103" t="s">
        <v>136</v>
      </c>
    </row>
    <row r="93" spans="1:10" ht="17.45" customHeight="1" x14ac:dyDescent="0.2">
      <c r="A93" s="92" t="s">
        <v>177</v>
      </c>
      <c r="B93" s="96" t="s">
        <v>166</v>
      </c>
      <c r="C93" s="108">
        <v>2</v>
      </c>
      <c r="D93" s="108">
        <v>19</v>
      </c>
      <c r="E93" s="97">
        <f t="shared" si="21"/>
        <v>40</v>
      </c>
      <c r="F93" s="108">
        <v>39</v>
      </c>
      <c r="G93" s="103" t="s">
        <v>136</v>
      </c>
      <c r="H93" s="108">
        <v>1</v>
      </c>
      <c r="I93" s="103" t="s">
        <v>136</v>
      </c>
      <c r="J93" s="103" t="s">
        <v>136</v>
      </c>
    </row>
    <row r="94" spans="1:10" ht="17.45" customHeight="1" x14ac:dyDescent="0.2">
      <c r="A94" s="95">
        <v>31</v>
      </c>
      <c r="B94" s="93" t="s">
        <v>61</v>
      </c>
      <c r="C94" s="107">
        <f>SUM(C95)</f>
        <v>4</v>
      </c>
      <c r="D94" s="107">
        <f>SUM(D95)</f>
        <v>36</v>
      </c>
      <c r="E94" s="107">
        <f>SUM(E95)</f>
        <v>355</v>
      </c>
      <c r="F94" s="107">
        <f t="shared" ref="F94:J94" si="28">SUM(F95)</f>
        <v>341</v>
      </c>
      <c r="G94" s="107">
        <f t="shared" si="28"/>
        <v>2</v>
      </c>
      <c r="H94" s="107">
        <f t="shared" si="28"/>
        <v>1</v>
      </c>
      <c r="I94" s="107">
        <f t="shared" si="28"/>
        <v>0</v>
      </c>
      <c r="J94" s="107">
        <f t="shared" si="28"/>
        <v>11</v>
      </c>
    </row>
    <row r="95" spans="1:10" ht="17.45" customHeight="1" x14ac:dyDescent="0.2">
      <c r="A95" s="92" t="s">
        <v>171</v>
      </c>
      <c r="B95" s="96" t="s">
        <v>28</v>
      </c>
      <c r="C95" s="108">
        <f>3+1</f>
        <v>4</v>
      </c>
      <c r="D95" s="108">
        <f>30+6</f>
        <v>36</v>
      </c>
      <c r="E95" s="97">
        <f>SUM(F95:J95)</f>
        <v>355</v>
      </c>
      <c r="F95" s="108">
        <f>73+268</f>
        <v>341</v>
      </c>
      <c r="G95" s="108">
        <v>2</v>
      </c>
      <c r="H95" s="103">
        <v>1</v>
      </c>
      <c r="I95" s="103" t="s">
        <v>136</v>
      </c>
      <c r="J95" s="99">
        <v>11</v>
      </c>
    </row>
    <row r="96" spans="1:10" ht="17.45" customHeight="1" x14ac:dyDescent="0.2">
      <c r="A96" s="95">
        <v>32</v>
      </c>
      <c r="B96" s="93" t="s">
        <v>135</v>
      </c>
      <c r="C96" s="107">
        <f>SUM(C97)</f>
        <v>2</v>
      </c>
      <c r="D96" s="107">
        <f t="shared" ref="D96:J96" si="29">SUM(D97)</f>
        <v>7</v>
      </c>
      <c r="E96" s="107">
        <f t="shared" si="29"/>
        <v>261</v>
      </c>
      <c r="F96" s="107">
        <f t="shared" si="29"/>
        <v>261</v>
      </c>
      <c r="G96" s="107">
        <f t="shared" si="29"/>
        <v>0</v>
      </c>
      <c r="H96" s="107">
        <f t="shared" si="29"/>
        <v>0</v>
      </c>
      <c r="I96" s="107">
        <f t="shared" si="29"/>
        <v>0</v>
      </c>
      <c r="J96" s="107">
        <f t="shared" si="29"/>
        <v>0</v>
      </c>
    </row>
    <row r="97" spans="1:10" ht="17.45" customHeight="1" x14ac:dyDescent="0.2">
      <c r="A97" s="92" t="s">
        <v>173</v>
      </c>
      <c r="B97" s="118" t="s">
        <v>153</v>
      </c>
      <c r="C97" s="108">
        <v>2</v>
      </c>
      <c r="D97" s="108">
        <v>7</v>
      </c>
      <c r="E97" s="97">
        <f t="shared" si="21"/>
        <v>261</v>
      </c>
      <c r="F97" s="108">
        <v>261</v>
      </c>
      <c r="G97" s="103" t="s">
        <v>136</v>
      </c>
      <c r="H97" s="103" t="s">
        <v>136</v>
      </c>
      <c r="I97" s="103" t="s">
        <v>136</v>
      </c>
      <c r="J97" s="101" t="s">
        <v>136</v>
      </c>
    </row>
    <row r="99" spans="1:10" x14ac:dyDescent="0.2">
      <c r="J99" s="119" t="s">
        <v>182</v>
      </c>
    </row>
  </sheetData>
  <mergeCells count="20">
    <mergeCell ref="A1:J1"/>
    <mergeCell ref="A3:A4"/>
    <mergeCell ref="B3:B4"/>
    <mergeCell ref="C3:C4"/>
    <mergeCell ref="D3:D4"/>
    <mergeCell ref="E3:J3"/>
    <mergeCell ref="A79:J79"/>
    <mergeCell ref="B80:J80"/>
    <mergeCell ref="A81:A82"/>
    <mergeCell ref="B81:B82"/>
    <mergeCell ref="C81:C82"/>
    <mergeCell ref="D81:D82"/>
    <mergeCell ref="E81:J81"/>
    <mergeCell ref="B42:B43"/>
    <mergeCell ref="C42:C43"/>
    <mergeCell ref="D42:D43"/>
    <mergeCell ref="E42:J42"/>
    <mergeCell ref="A40:J40"/>
    <mergeCell ref="B41:J41"/>
    <mergeCell ref="A42:A43"/>
  </mergeCells>
  <printOptions horizontalCentered="1"/>
  <pageMargins left="0.74803149606299202" right="0.74803149606299202" top="0.98425196850393704" bottom="0.78740157480314998" header="0.511811023622047" footer="0.511811023622047"/>
  <pageSetup paperSize="9" firstPageNumber="50" orientation="portrait" r:id="rId1"/>
  <headerFooter alignWithMargins="0">
    <oddHeader>&amp;C&amp;P</oddHeader>
  </headerFooter>
  <rowBreaks count="1" manualBreakCount="1"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41-42</vt:lpstr>
      <vt:lpstr>Table 43</vt:lpstr>
      <vt:lpstr>Table 44</vt:lpstr>
      <vt:lpstr>Table 45</vt:lpstr>
      <vt:lpstr>Table 46</vt:lpstr>
      <vt:lpstr>Table 47</vt:lpstr>
      <vt:lpstr>'Table 41-42'!Print_Area</vt:lpstr>
      <vt:lpstr>'Table 43'!Print_Area</vt:lpstr>
      <vt:lpstr>'Table 44'!Print_Area</vt:lpstr>
      <vt:lpstr>'Table 46'!Print_Area</vt:lpstr>
      <vt:lpstr>'Table 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Saqib</cp:lastModifiedBy>
  <cp:lastPrinted>2021-08-02T07:08:37Z</cp:lastPrinted>
  <dcterms:created xsi:type="dcterms:W3CDTF">2002-07-12T12:17:31Z</dcterms:created>
  <dcterms:modified xsi:type="dcterms:W3CDTF">2021-08-05T07:11:58Z</dcterms:modified>
</cp:coreProperties>
</file>