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a\Publication\Indicator Khyber Pakhtunkhwa\Indicator 2021\Health\"/>
    </mc:Choice>
  </mc:AlternateContent>
  <bookViews>
    <workbookView xWindow="0" yWindow="0" windowWidth="28800" windowHeight="12300" activeTab="6"/>
  </bookViews>
  <sheets>
    <sheet name="Table 39" sheetId="9" r:id="rId1"/>
    <sheet name="Table 40" sheetId="10" r:id="rId2"/>
    <sheet name="Table 41" sheetId="11" r:id="rId3"/>
    <sheet name="Table 42" sheetId="14" r:id="rId4"/>
    <sheet name="Table 43" sheetId="15" r:id="rId5"/>
    <sheet name="Table 44" sheetId="3" r:id="rId6"/>
    <sheet name="Table 45-46" sheetId="4" r:id="rId7"/>
    <sheet name="Table 47" sheetId="12" r:id="rId8"/>
    <sheet name="Table 48" sheetId="8" r:id="rId9"/>
    <sheet name="Table 49" sheetId="13" r:id="rId10"/>
  </sheets>
  <definedNames>
    <definedName name="_xlnm.Print_Area" localSheetId="0">'Table 39'!$A$1:$K$38</definedName>
    <definedName name="_xlnm.Print_Area" localSheetId="1">'Table 40'!$A$1:$G$38</definedName>
    <definedName name="_xlnm.Print_Area" localSheetId="2">'Table 41'!$A$1:$J$38</definedName>
    <definedName name="_xlnm.Print_Area" localSheetId="3">'Table 42'!$A$1:$J$38</definedName>
    <definedName name="_xlnm.Print_Area" localSheetId="4">'Table 43'!$A$1:$J$15</definedName>
    <definedName name="_xlnm.Print_Area" localSheetId="5">'Table 44'!$A$1:$D$38</definedName>
    <definedName name="_xlnm.Print_Area" localSheetId="6">'Table 45-46'!$A$1:$H$39</definedName>
    <definedName name="_xlnm.Print_Area" localSheetId="7">'Table 47'!$A$1:$L$39</definedName>
    <definedName name="_xlnm.Print_Area" localSheetId="9">'Table 49'!$A$1:$I$28</definedName>
  </definedNames>
  <calcPr calcId="162913"/>
</workbook>
</file>

<file path=xl/calcChain.xml><?xml version="1.0" encoding="utf-8"?>
<calcChain xmlns="http://schemas.openxmlformats.org/spreadsheetml/2006/main">
  <c r="E6" i="13" l="1"/>
  <c r="E5" i="13" s="1"/>
  <c r="C24" i="13" l="1"/>
  <c r="G23" i="13"/>
  <c r="C23" i="13" s="1"/>
  <c r="G22" i="13"/>
  <c r="C22" i="13" s="1"/>
  <c r="G21" i="13"/>
  <c r="C21" i="13" s="1"/>
  <c r="G20" i="13"/>
  <c r="C20" i="13" s="1"/>
  <c r="G19" i="13"/>
  <c r="C19" i="13" s="1"/>
  <c r="G18" i="13"/>
  <c r="C18" i="13" s="1"/>
  <c r="G17" i="13"/>
  <c r="C17" i="13" s="1"/>
  <c r="G16" i="13"/>
  <c r="C16" i="13" s="1"/>
  <c r="G15" i="13"/>
  <c r="C15" i="13" s="1"/>
  <c r="G14" i="13"/>
  <c r="C14" i="13" s="1"/>
  <c r="G13" i="13"/>
  <c r="C13" i="13" s="1"/>
  <c r="G12" i="13"/>
  <c r="C12" i="13" s="1"/>
  <c r="G11" i="13"/>
  <c r="C11" i="13" s="1"/>
  <c r="G10" i="13"/>
  <c r="C10" i="13" s="1"/>
  <c r="G9" i="13"/>
  <c r="C9" i="13" s="1"/>
  <c r="G8" i="13"/>
  <c r="C8" i="13" s="1"/>
  <c r="G7" i="13"/>
  <c r="C7" i="13" s="1"/>
  <c r="N36" i="9" l="1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J22" i="11" l="1"/>
  <c r="I6" i="13" l="1"/>
  <c r="I5" i="13" s="1"/>
  <c r="G6" i="13"/>
  <c r="F6" i="13"/>
  <c r="F5" i="13" s="1"/>
  <c r="C6" i="13"/>
  <c r="C5" i="13" s="1"/>
  <c r="B35" i="8"/>
  <c r="B22" i="8"/>
  <c r="B19" i="8"/>
  <c r="B12" i="8"/>
  <c r="B7" i="8"/>
  <c r="L36" i="12"/>
  <c r="K36" i="12"/>
  <c r="J36" i="12"/>
  <c r="I36" i="12"/>
  <c r="H36" i="12"/>
  <c r="G36" i="12"/>
  <c r="F36" i="12"/>
  <c r="E36" i="12"/>
  <c r="D36" i="12"/>
  <c r="C36" i="12"/>
  <c r="B36" i="12"/>
  <c r="L31" i="12"/>
  <c r="K31" i="12"/>
  <c r="J31" i="12"/>
  <c r="I31" i="12"/>
  <c r="H31" i="12"/>
  <c r="G31" i="12"/>
  <c r="F31" i="12"/>
  <c r="E31" i="12"/>
  <c r="D31" i="12"/>
  <c r="C31" i="12"/>
  <c r="B31" i="12"/>
  <c r="L23" i="12"/>
  <c r="K23" i="12"/>
  <c r="J23" i="12"/>
  <c r="I23" i="12"/>
  <c r="H23" i="12"/>
  <c r="G23" i="12"/>
  <c r="F23" i="12"/>
  <c r="E23" i="12"/>
  <c r="E5" i="12" s="1"/>
  <c r="D23" i="12"/>
  <c r="C23" i="12"/>
  <c r="B23" i="12"/>
  <c r="L20" i="12"/>
  <c r="K20" i="12"/>
  <c r="J20" i="12"/>
  <c r="I20" i="12"/>
  <c r="I5" i="12" s="1"/>
  <c r="H20" i="12"/>
  <c r="G20" i="12"/>
  <c r="F20" i="12"/>
  <c r="E20" i="12"/>
  <c r="D20" i="12"/>
  <c r="C20" i="12"/>
  <c r="B20" i="12"/>
  <c r="L13" i="12"/>
  <c r="K13" i="12"/>
  <c r="J13" i="12"/>
  <c r="I13" i="12"/>
  <c r="H13" i="12"/>
  <c r="G13" i="12"/>
  <c r="F13" i="12"/>
  <c r="E13" i="12"/>
  <c r="D13" i="12"/>
  <c r="C13" i="12"/>
  <c r="B13" i="12"/>
  <c r="L8" i="12"/>
  <c r="K8" i="12"/>
  <c r="J8" i="12"/>
  <c r="I8" i="12"/>
  <c r="H8" i="12"/>
  <c r="G8" i="12"/>
  <c r="F8" i="12"/>
  <c r="F5" i="12" s="1"/>
  <c r="E8" i="12"/>
  <c r="D8" i="12"/>
  <c r="C8" i="12"/>
  <c r="B8" i="12"/>
  <c r="H35" i="4"/>
  <c r="F35" i="4" s="1"/>
  <c r="F34" i="4"/>
  <c r="F33" i="4"/>
  <c r="F32" i="4"/>
  <c r="F31" i="4"/>
  <c r="H30" i="4"/>
  <c r="F30" i="4" s="1"/>
  <c r="F29" i="4"/>
  <c r="F28" i="4"/>
  <c r="F27" i="4"/>
  <c r="F26" i="4"/>
  <c r="F25" i="4"/>
  <c r="F24" i="4"/>
  <c r="F23" i="4"/>
  <c r="H22" i="4"/>
  <c r="F22" i="4" s="1"/>
  <c r="F21" i="4"/>
  <c r="H19" i="4"/>
  <c r="F19" i="4" s="1"/>
  <c r="F18" i="4"/>
  <c r="F17" i="4"/>
  <c r="F16" i="4"/>
  <c r="F15" i="4"/>
  <c r="F14" i="4"/>
  <c r="F13" i="4"/>
  <c r="H12" i="4"/>
  <c r="G12" i="4"/>
  <c r="F11" i="4"/>
  <c r="F10" i="4"/>
  <c r="F9" i="4"/>
  <c r="F8" i="4"/>
  <c r="H7" i="4"/>
  <c r="F7" i="4" s="1"/>
  <c r="F6" i="4"/>
  <c r="F5" i="4"/>
  <c r="D35" i="4"/>
  <c r="C35" i="4"/>
  <c r="B35" i="4"/>
  <c r="D30" i="4"/>
  <c r="C30" i="4"/>
  <c r="B30" i="4"/>
  <c r="D22" i="4"/>
  <c r="C22" i="4"/>
  <c r="B22" i="4"/>
  <c r="D19" i="4"/>
  <c r="C19" i="4"/>
  <c r="B19" i="4"/>
  <c r="D12" i="4"/>
  <c r="C12" i="4"/>
  <c r="B12" i="4"/>
  <c r="D7" i="4"/>
  <c r="C7" i="4"/>
  <c r="B7" i="4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D4" i="3"/>
  <c r="C4" i="3"/>
  <c r="B4" i="3" s="1"/>
  <c r="J4" i="15"/>
  <c r="I4" i="15"/>
  <c r="H4" i="15"/>
  <c r="G4" i="15"/>
  <c r="F4" i="15"/>
  <c r="E4" i="15"/>
  <c r="D4" i="15"/>
  <c r="C4" i="15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I4" i="14"/>
  <c r="H4" i="14"/>
  <c r="G4" i="14"/>
  <c r="F4" i="14"/>
  <c r="E4" i="14"/>
  <c r="D4" i="14"/>
  <c r="C4" i="14"/>
  <c r="B4" i="14"/>
  <c r="J4" i="14" s="1"/>
  <c r="J36" i="11"/>
  <c r="I35" i="11"/>
  <c r="H35" i="11"/>
  <c r="G35" i="11"/>
  <c r="B35" i="11"/>
  <c r="J35" i="11" s="1"/>
  <c r="J34" i="11"/>
  <c r="J33" i="11"/>
  <c r="J32" i="11"/>
  <c r="J31" i="11"/>
  <c r="I30" i="11"/>
  <c r="H30" i="11"/>
  <c r="B30" i="11"/>
  <c r="J30" i="11" s="1"/>
  <c r="J29" i="11"/>
  <c r="J28" i="11"/>
  <c r="J27" i="11"/>
  <c r="J26" i="11"/>
  <c r="J25" i="11"/>
  <c r="J24" i="11"/>
  <c r="J23" i="11"/>
  <c r="I22" i="11"/>
  <c r="H22" i="11"/>
  <c r="G22" i="11"/>
  <c r="J21" i="11"/>
  <c r="J20" i="11"/>
  <c r="I19" i="11"/>
  <c r="H19" i="11"/>
  <c r="G19" i="11"/>
  <c r="B19" i="11"/>
  <c r="J19" i="11" s="1"/>
  <c r="J18" i="11"/>
  <c r="J17" i="11"/>
  <c r="J16" i="11"/>
  <c r="J15" i="11"/>
  <c r="J14" i="11"/>
  <c r="J13" i="11"/>
  <c r="J12" i="11"/>
  <c r="I12" i="11"/>
  <c r="H12" i="11"/>
  <c r="G12" i="11"/>
  <c r="B12" i="11"/>
  <c r="J11" i="11"/>
  <c r="J10" i="11"/>
  <c r="J9" i="11"/>
  <c r="J8" i="11"/>
  <c r="I7" i="11"/>
  <c r="H7" i="11"/>
  <c r="G7" i="11"/>
  <c r="B7" i="11"/>
  <c r="J7" i="11" s="1"/>
  <c r="J6" i="11"/>
  <c r="J5" i="11"/>
  <c r="F4" i="11"/>
  <c r="E4" i="11"/>
  <c r="D4" i="11"/>
  <c r="C4" i="11"/>
  <c r="D36" i="10"/>
  <c r="D35" i="10"/>
  <c r="G35" i="10" s="1"/>
  <c r="D34" i="10"/>
  <c r="G34" i="10" s="1"/>
  <c r="D33" i="10"/>
  <c r="G33" i="10" s="1"/>
  <c r="D32" i="10"/>
  <c r="G32" i="10" s="1"/>
  <c r="D31" i="10"/>
  <c r="G31" i="10" s="1"/>
  <c r="D30" i="10"/>
  <c r="G30" i="10" s="1"/>
  <c r="D29" i="10"/>
  <c r="G29" i="10" s="1"/>
  <c r="D28" i="10"/>
  <c r="G28" i="10" s="1"/>
  <c r="D27" i="10"/>
  <c r="G27" i="10" s="1"/>
  <c r="D26" i="10"/>
  <c r="G26" i="10" s="1"/>
  <c r="D25" i="10"/>
  <c r="G25" i="10" s="1"/>
  <c r="D24" i="10"/>
  <c r="G24" i="10" s="1"/>
  <c r="D23" i="10"/>
  <c r="G23" i="10" s="1"/>
  <c r="D22" i="10"/>
  <c r="G22" i="10" s="1"/>
  <c r="D21" i="10"/>
  <c r="G21" i="10" s="1"/>
  <c r="D20" i="10"/>
  <c r="D19" i="10"/>
  <c r="G19" i="10" s="1"/>
  <c r="D18" i="10"/>
  <c r="G18" i="10" s="1"/>
  <c r="D17" i="10"/>
  <c r="G17" i="10" s="1"/>
  <c r="D16" i="10"/>
  <c r="G16" i="10" s="1"/>
  <c r="D15" i="10"/>
  <c r="G15" i="10" s="1"/>
  <c r="D14" i="10"/>
  <c r="G14" i="10" s="1"/>
  <c r="D13" i="10"/>
  <c r="G13" i="10" s="1"/>
  <c r="D12" i="10"/>
  <c r="G12" i="10" s="1"/>
  <c r="D11" i="10"/>
  <c r="G11" i="10" s="1"/>
  <c r="D10" i="10"/>
  <c r="G10" i="10" s="1"/>
  <c r="D9" i="10"/>
  <c r="G9" i="10" s="1"/>
  <c r="D8" i="10"/>
  <c r="G8" i="10" s="1"/>
  <c r="D7" i="10"/>
  <c r="G7" i="10" s="1"/>
  <c r="D6" i="10"/>
  <c r="G6" i="10" s="1"/>
  <c r="D5" i="10"/>
  <c r="F4" i="10"/>
  <c r="E4" i="10"/>
  <c r="C4" i="10"/>
  <c r="B4" i="10"/>
  <c r="B36" i="9"/>
  <c r="K36" i="9" s="1"/>
  <c r="B35" i="9"/>
  <c r="K35" i="9" s="1"/>
  <c r="K34" i="9"/>
  <c r="B34" i="9"/>
  <c r="B33" i="9"/>
  <c r="K33" i="9" s="1"/>
  <c r="B32" i="9"/>
  <c r="K32" i="9" s="1"/>
  <c r="B31" i="9"/>
  <c r="K31" i="9" s="1"/>
  <c r="B30" i="9"/>
  <c r="K30" i="9" s="1"/>
  <c r="B29" i="9"/>
  <c r="K29" i="9" s="1"/>
  <c r="B28" i="9"/>
  <c r="K28" i="9" s="1"/>
  <c r="B27" i="9"/>
  <c r="K27" i="9" s="1"/>
  <c r="B26" i="9"/>
  <c r="K26" i="9" s="1"/>
  <c r="B25" i="9"/>
  <c r="K25" i="9" s="1"/>
  <c r="B24" i="9"/>
  <c r="K24" i="9" s="1"/>
  <c r="B23" i="9"/>
  <c r="K23" i="9" s="1"/>
  <c r="B22" i="9"/>
  <c r="K22" i="9" s="1"/>
  <c r="B21" i="9"/>
  <c r="K21" i="9" s="1"/>
  <c r="B20" i="9"/>
  <c r="K20" i="9" s="1"/>
  <c r="B19" i="9"/>
  <c r="K19" i="9" s="1"/>
  <c r="B18" i="9"/>
  <c r="K18" i="9" s="1"/>
  <c r="B17" i="9"/>
  <c r="K17" i="9" s="1"/>
  <c r="B16" i="9"/>
  <c r="K16" i="9" s="1"/>
  <c r="B15" i="9"/>
  <c r="K15" i="9" s="1"/>
  <c r="B14" i="9"/>
  <c r="K14" i="9" s="1"/>
  <c r="B13" i="9"/>
  <c r="K13" i="9" s="1"/>
  <c r="B12" i="9"/>
  <c r="K12" i="9" s="1"/>
  <c r="B11" i="9"/>
  <c r="K11" i="9" s="1"/>
  <c r="K10" i="9"/>
  <c r="B10" i="9"/>
  <c r="B9" i="9"/>
  <c r="K9" i="9" s="1"/>
  <c r="B8" i="9"/>
  <c r="K8" i="9" s="1"/>
  <c r="B7" i="9"/>
  <c r="K7" i="9" s="1"/>
  <c r="B6" i="9"/>
  <c r="K6" i="9" s="1"/>
  <c r="B5" i="9"/>
  <c r="J4" i="9"/>
  <c r="I4" i="9"/>
  <c r="H4" i="9"/>
  <c r="G4" i="9"/>
  <c r="F4" i="9"/>
  <c r="E4" i="9"/>
  <c r="D4" i="9"/>
  <c r="C4" i="9"/>
  <c r="F12" i="4" l="1"/>
  <c r="I4" i="11"/>
  <c r="H4" i="11"/>
  <c r="G4" i="11"/>
  <c r="B4" i="8"/>
  <c r="B4" i="9"/>
  <c r="K4" i="9" s="1"/>
  <c r="K5" i="9"/>
  <c r="B5" i="12"/>
  <c r="J5" i="12"/>
  <c r="G5" i="12"/>
  <c r="D4" i="10"/>
  <c r="G4" i="10" s="1"/>
  <c r="B4" i="11"/>
  <c r="J4" i="11" s="1"/>
  <c r="C5" i="12"/>
  <c r="K5" i="12"/>
  <c r="H5" i="12"/>
  <c r="D5" i="12"/>
  <c r="L5" i="12"/>
  <c r="G5" i="13"/>
  <c r="H24" i="13" s="1"/>
  <c r="H20" i="13"/>
  <c r="H16" i="13"/>
  <c r="H12" i="13"/>
  <c r="H8" i="13"/>
  <c r="H22" i="13"/>
  <c r="H18" i="13"/>
  <c r="H14" i="13"/>
  <c r="H10" i="13"/>
  <c r="H21" i="13"/>
  <c r="H17" i="13"/>
  <c r="H13" i="13"/>
  <c r="H9" i="13"/>
  <c r="H23" i="13"/>
  <c r="H19" i="13"/>
  <c r="H11" i="13"/>
  <c r="H7" i="13"/>
  <c r="H15" i="13"/>
  <c r="D20" i="13"/>
  <c r="D16" i="13"/>
  <c r="D12" i="13"/>
  <c r="D8" i="13"/>
  <c r="D23" i="13"/>
  <c r="D19" i="13"/>
  <c r="D11" i="13"/>
  <c r="D22" i="13"/>
  <c r="D18" i="13"/>
  <c r="D14" i="13"/>
  <c r="D10" i="13"/>
  <c r="D21" i="13"/>
  <c r="D17" i="13"/>
  <c r="D13" i="13"/>
  <c r="D9" i="13"/>
  <c r="D15" i="13"/>
  <c r="D7" i="13"/>
  <c r="D24" i="13"/>
  <c r="G4" i="4"/>
  <c r="H4" i="4"/>
  <c r="F4" i="4" s="1"/>
  <c r="C4" i="4"/>
  <c r="D4" i="4"/>
  <c r="B4" i="4"/>
  <c r="G5" i="10"/>
  <c r="H6" i="13" l="1"/>
  <c r="H5" i="13" s="1"/>
  <c r="D6" i="13"/>
  <c r="D5" i="13" s="1"/>
</calcChain>
</file>

<file path=xl/sharedStrings.xml><?xml version="1.0" encoding="utf-8"?>
<sst xmlns="http://schemas.openxmlformats.org/spreadsheetml/2006/main" count="560" uniqueCount="166">
  <si>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</si>
  <si>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</si>
  <si>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</si>
  <si>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</si>
  <si>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</si>
  <si>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</si>
  <si>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</si>
  <si>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</si>
  <si>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</si>
  <si>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</si>
  <si>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</si>
  <si>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Battagram</t>
  </si>
  <si>
    <t>Kohistan</t>
  </si>
  <si>
    <t>Bannu</t>
  </si>
  <si>
    <t>Lakki</t>
  </si>
  <si>
    <t>D.I.Khan</t>
  </si>
  <si>
    <t>Tank</t>
  </si>
  <si>
    <t>Chitral</t>
  </si>
  <si>
    <t>Swat</t>
  </si>
  <si>
    <t>Shangla</t>
  </si>
  <si>
    <t>Buner</t>
  </si>
  <si>
    <t>Malakand</t>
  </si>
  <si>
    <t>Hospitals</t>
  </si>
  <si>
    <t>Dispensaries</t>
  </si>
  <si>
    <t>T.B Clinic</t>
  </si>
  <si>
    <t>R.H.Cs</t>
  </si>
  <si>
    <t>B.H.Us</t>
  </si>
  <si>
    <t>Leprosy Clinic</t>
  </si>
  <si>
    <t>District</t>
  </si>
  <si>
    <t>Male</t>
  </si>
  <si>
    <t>Female</t>
  </si>
  <si>
    <t>Total</t>
  </si>
  <si>
    <t>Blood Slides Examined</t>
  </si>
  <si>
    <t>Malaria Cases</t>
  </si>
  <si>
    <t>Malaria Cases Treated</t>
  </si>
  <si>
    <t>Indoor</t>
  </si>
  <si>
    <t>B.C.G</t>
  </si>
  <si>
    <t>Priority Diseases</t>
  </si>
  <si>
    <t>Cases</t>
  </si>
  <si>
    <t>% of Total NC</t>
  </si>
  <si>
    <t>Suspected Cholera</t>
  </si>
  <si>
    <t>Poliomyelitis</t>
  </si>
  <si>
    <t>Measles</t>
  </si>
  <si>
    <t>Diphtheria</t>
  </si>
  <si>
    <t>Whooping Cough</t>
  </si>
  <si>
    <t>Goiter</t>
  </si>
  <si>
    <t>Dog Bite</t>
  </si>
  <si>
    <t>Scabies</t>
  </si>
  <si>
    <t>S.H.Cs</t>
  </si>
  <si>
    <t>Suspected AIDS</t>
  </si>
  <si>
    <t>T.B Clinics</t>
  </si>
  <si>
    <t>(Numbers)</t>
  </si>
  <si>
    <t xml:space="preserve">Other Para Medical staff </t>
  </si>
  <si>
    <t xml:space="preserve">M.C.H. Centres </t>
  </si>
  <si>
    <t>Fever (Clinical Malaria)</t>
  </si>
  <si>
    <t>Packet of Oral Rehydration Salt (ORS)
Distributed</t>
  </si>
  <si>
    <t>Khyber Pakhtunkhwa</t>
  </si>
  <si>
    <t>Khyber
Pakhtunkhwa</t>
  </si>
  <si>
    <t>( Children &amp; Women )</t>
  </si>
  <si>
    <t>Pop:
per
Doctor</t>
  </si>
  <si>
    <t>DISTRICT &amp; CATEGORY WISE NUMBER OF MEDICAL/ PARAMEDICAL STAFF ACTUALLY WORKING IN GOVERNMENT HEALTH INSTITUTIONS OF KHYBER PAKHTUNKHWA</t>
  </si>
  <si>
    <t>Outdoor</t>
  </si>
  <si>
    <t>Tetanus Toxoid</t>
  </si>
  <si>
    <t>T.T-1</t>
  </si>
  <si>
    <t>T.T-2</t>
  </si>
  <si>
    <t>T.T-3</t>
  </si>
  <si>
    <t>T.T-4</t>
  </si>
  <si>
    <t>T.T-5</t>
  </si>
  <si>
    <t>OPV-0</t>
  </si>
  <si>
    <t>D.I. Khan</t>
  </si>
  <si>
    <t>Dir Lower</t>
  </si>
  <si>
    <t>Dir Upper</t>
  </si>
  <si>
    <t>Lakki Marwat</t>
  </si>
  <si>
    <t>Tor Ghar</t>
  </si>
  <si>
    <t>Diarrhoea (Dysentery)</t>
  </si>
  <si>
    <t>A.</t>
  </si>
  <si>
    <t>B.</t>
  </si>
  <si>
    <t>Total New Cases of all
Diseases(A+B)</t>
  </si>
  <si>
    <t>Suspected Meningococcal
Meningitis</t>
  </si>
  <si>
    <t xml:space="preserve">Dir Lower </t>
  </si>
  <si>
    <t xml:space="preserve">Dir Upper </t>
  </si>
  <si>
    <t>Table No. 42</t>
  </si>
  <si>
    <t>Total Health 
Insitutions</t>
  </si>
  <si>
    <t>Population per 
Health Institution</t>
  </si>
  <si>
    <t>Cases 5 
&amp; over</t>
  </si>
  <si>
    <t>Table No. 43</t>
  </si>
  <si>
    <t>Table No. 44</t>
  </si>
  <si>
    <t>Nurse Dias</t>
  </si>
  <si>
    <r>
      <rPr>
        <b/>
        <sz val="9"/>
        <rFont val="Arial"/>
        <family val="2"/>
      </rPr>
      <t>NC</t>
    </r>
    <r>
      <rPr>
        <sz val="9"/>
        <rFont val="Arial"/>
        <family val="2"/>
      </rPr>
      <t xml:space="preserve">  =  New Cases</t>
    </r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</si>
  <si>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  Director General Health Services, Khyber Pakhtunkhwa, Peshawar</t>
    </r>
  </si>
  <si>
    <r>
      <t>Source:</t>
    </r>
    <r>
      <rPr>
        <sz val="9"/>
        <rFont val="Arial"/>
        <family val="2"/>
      </rPr>
      <t xml:space="preserve">     Director General Health Services, Khyber Pakhtunkhwa, Peshawar</t>
    </r>
  </si>
  <si>
    <t xml:space="preserve">Bajaur </t>
  </si>
  <si>
    <t>Khyber</t>
  </si>
  <si>
    <t>Kurram</t>
  </si>
  <si>
    <t>Mohmand</t>
  </si>
  <si>
    <t>Orakzai</t>
  </si>
  <si>
    <t>N.Waziristan</t>
  </si>
  <si>
    <t>S.Waziristan</t>
  </si>
  <si>
    <t>Table No. 41</t>
  </si>
  <si>
    <t>Table No.45</t>
  </si>
  <si>
    <t>Table No. 46</t>
  </si>
  <si>
    <t>Table No. 47</t>
  </si>
  <si>
    <t>Table No. 48</t>
  </si>
  <si>
    <t>Table No. 49</t>
  </si>
  <si>
    <t>DISTRICT WISE NUMBER OF GOVERNMENT HEALTH INSTITUTIONS IN KHYBER PAKHTUNKHWA AS ON 1.1.2020</t>
  </si>
  <si>
    <t>DISTRICT WISE BED STRENGTH IN HEALTH INSTITUTIONS IN KHYBER PAKHTUNKHWA AS ON 1.1.2020</t>
  </si>
  <si>
    <t>(1.1.2020)</t>
  </si>
  <si>
    <t>DISTRICT WISE MALARIA CONTROL ACTIVITIES IN KHYBER PAKHTUNKHWA FOR THE YEAR 2020</t>
  </si>
  <si>
    <t>EXPANDED PROGRAMME ON IMMUNIZATION BY DISTRICTS IN KHYBER PAKHTUNKHWA FOR THE YEAR 2019-20</t>
  </si>
  <si>
    <t>DISTRIBUTION OF ORAL REHYDRATION SALT (ORS) PACKETS BY DISTRICT IN KHYBER PAKHTUNKHWA 2020</t>
  </si>
  <si>
    <t>Doctors</t>
  </si>
  <si>
    <t xml:space="preserve">Radialogists </t>
  </si>
  <si>
    <t>Dental Surgeons</t>
  </si>
  <si>
    <t>Nurses</t>
  </si>
  <si>
    <t>Dias</t>
  </si>
  <si>
    <t xml:space="preserve">Primary Health Technician (LHVs) 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</si>
  <si>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MTIs data included.</t>
    </r>
  </si>
  <si>
    <t>Hospital</t>
  </si>
  <si>
    <t>Khyber Teaching Hospital, Peshawar</t>
  </si>
  <si>
    <t>Peshawar Institute of Cardiology</t>
  </si>
  <si>
    <t>Hayatabad Medical Complex, Peshawar</t>
  </si>
  <si>
    <t>Ayub Teaching Hospital, Abbottabad</t>
  </si>
  <si>
    <t>Mardan Medical Complex</t>
  </si>
  <si>
    <t>-</t>
  </si>
  <si>
    <t>Mufti Mehmood Memorial Hospital, D.I Khan</t>
  </si>
  <si>
    <t>DISTRICT WISE NUMBER OF MEDICAL &amp; PARAMEDICAL STAFF POSTED IN KHYBER PAKHTUNKHWA</t>
  </si>
  <si>
    <t>Nurse Dais</t>
  </si>
  <si>
    <t>Dais</t>
  </si>
  <si>
    <t>S.No.</t>
  </si>
  <si>
    <t>Lady Reading Hospital, Peshawar</t>
  </si>
  <si>
    <t>Qazi Hussain Ahmed Medical Complex, Nowshera</t>
  </si>
  <si>
    <t>Khalifa Gul Nawaz Hospital, Bannu</t>
  </si>
  <si>
    <r>
      <rPr>
        <b/>
        <sz val="10"/>
        <rFont val="Arial"/>
        <family val="2"/>
      </rPr>
      <t>Source:</t>
    </r>
    <r>
      <rPr>
        <sz val="10"/>
        <rFont val="Arial"/>
      </rPr>
      <t xml:space="preserve"> Respective MTIs.</t>
    </r>
  </si>
  <si>
    <t>Case under 5 years</t>
  </si>
  <si>
    <t>Under 1 yr</t>
  </si>
  <si>
    <t>1-4 yrs</t>
  </si>
  <si>
    <t>&lt; 5 yrs Total</t>
  </si>
  <si>
    <t>% Total NC&lt;5 yrs</t>
  </si>
  <si>
    <r>
      <t>Source:</t>
    </r>
    <r>
      <rPr>
        <sz val="9"/>
        <rFont val="Arial"/>
        <family val="2"/>
      </rPr>
      <t xml:space="preserve">     Director General, Health Services, Khyber Pakhtunkhwa, Peshawar</t>
    </r>
  </si>
  <si>
    <t>Hospitals/ Dispensaries Beds</t>
  </si>
  <si>
    <t>Pop: per Hosp:/ Disp: Bed</t>
  </si>
  <si>
    <r>
      <rPr>
        <b/>
        <sz val="9"/>
        <rFont val="Arial"/>
        <family val="2"/>
      </rPr>
      <t xml:space="preserve">Note: </t>
    </r>
    <r>
      <rPr>
        <sz val="9"/>
        <rFont val="Arial"/>
        <family val="2"/>
      </rPr>
      <t xml:space="preserve"> MTIs data not included.</t>
    </r>
  </si>
  <si>
    <t xml:space="preserve">Radialo-gists </t>
  </si>
  <si>
    <t>Khyber 
Pakhtunkhwa</t>
  </si>
  <si>
    <t xml:space="preserve">Source: </t>
  </si>
  <si>
    <t xml:space="preserve"> 1. Director General Health Services, Khyber Pakhtunkhwa, Peshawar</t>
  </si>
  <si>
    <t xml:space="preserve"> 2. Respective Medical Teaching Institutes</t>
  </si>
  <si>
    <t xml:space="preserve"> NUMBER OF MEDICAL &amp; PARAMEDICAL STAFF IN MEDICAL TEACHING INSTITUTES, 
KHYBER PAKHTUNKHWA</t>
  </si>
  <si>
    <t>DISTRICT WISE NUMBER OF REGISTERED PRIVATE MEDICAL PRACTITIONERS IN KHYBER PAKHTUNKHWA 
FOR THE YEAR 2019-20</t>
  </si>
  <si>
    <r>
      <t xml:space="preserve"> </t>
    </r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 Khyber Pakhtunkhwa Health Care Commission</t>
    </r>
  </si>
  <si>
    <r>
      <rPr>
        <b/>
        <sz val="9"/>
        <rFont val="Arial"/>
        <family val="2"/>
      </rPr>
      <t xml:space="preserve">Source:    </t>
    </r>
    <r>
      <rPr>
        <sz val="9"/>
        <rFont val="Arial"/>
        <family val="2"/>
      </rPr>
      <t>Director General Health services , Khyber pakhtunkhwa, peshawar</t>
    </r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</si>
  <si>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 1. Outdoor patients include Old &amp; New cases.</t>
    </r>
  </si>
  <si>
    <t xml:space="preserve">           2. The data of medical and  teaching instituion (MTI) is not included in this table.</t>
  </si>
  <si>
    <t>OPV/ DPT</t>
  </si>
  <si>
    <t>REPORT OF PRIORITY DISEASES BY HEALTH MANAGEMENT INFORMATION SYSTEM  (HMIS)  IN  KHYBER PAKHTUNKHWA
FOR  THE  YEAR  2019</t>
  </si>
  <si>
    <t>Total New Cases Priority Diseases</t>
  </si>
  <si>
    <t>Acute Respiratory 
Infections</t>
  </si>
  <si>
    <t>Total New Cases of Other Diseases</t>
  </si>
  <si>
    <t>Suspected Neonatal 
Tetanus</t>
  </si>
  <si>
    <t>Goiter, Cholera &amp; Whooping Cough = N/A</t>
  </si>
  <si>
    <t>Cough more than 
2 weeks</t>
  </si>
  <si>
    <t>Suspected Viral 
Hepatitis</t>
  </si>
  <si>
    <t>Snake Bite with Signs 
of Poisoning</t>
  </si>
  <si>
    <t>Table No. 39</t>
  </si>
  <si>
    <t>Table No. 40</t>
  </si>
  <si>
    <t>PATIENTS TREATED (INDOOR/ OUTDOOR) IN GOVERNMENT HOSPITALS/ DISPENSARIES IN KHYBER PAKHTUNKHWA, DURING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</si>
</sst>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#,##0.000"/>
  </numFmts>
  <fonts count="13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color rgb="FF0F233D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  <charset val="134"/>
    </font>
    <font>
      <b/>
      <sz val="10"/>
      <name val="Arial Narrow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5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/>
    <xf numFmtId="0" fontId="2" fillId="0" borderId="0" xfId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6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0" fontId="2" fillId="0" borderId="3" xfId="0" applyFont="1" applyFill="1" applyBorder="1"/>
    <xf numFmtId="0" fontId="3" fillId="0" borderId="7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/>
    <xf numFmtId="0" fontId="1" fillId="0" borderId="6" xfId="0" applyFont="1" applyFill="1" applyBorder="1" applyAlignment="1">
      <alignment horizontal="right" vertical="center"/>
    </xf>
    <xf numFmtId="3" fontId="3" fillId="0" borderId="17" xfId="1" applyNumberFormat="1" applyFont="1" applyFill="1" applyBorder="1" applyAlignment="1">
      <alignment vertical="center"/>
    </xf>
    <xf numFmtId="3" fontId="3" fillId="0" borderId="17" xfId="1" applyNumberFormat="1" applyFont="1" applyFill="1" applyBorder="1" applyAlignment="1">
      <alignment horizontal="right" vertical="center"/>
    </xf>
    <xf numFmtId="3" fontId="1" fillId="0" borderId="17" xfId="1" applyNumberFormat="1" applyFont="1" applyFill="1" applyBorder="1" applyAlignment="1">
      <alignment vertical="center"/>
    </xf>
    <xf numFmtId="3" fontId="1" fillId="0" borderId="17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/>
    <xf numFmtId="3" fontId="0" fillId="0" borderId="17" xfId="0" applyNumberFormat="1" applyBorder="1" applyAlignment="1">
      <alignment horizontal="right" vertical="center"/>
    </xf>
    <xf numFmtId="0" fontId="5" fillId="0" borderId="0" xfId="0" applyFont="1"/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3" fontId="0" fillId="0" borderId="17" xfId="0" applyNumberFormat="1" applyFill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 applyProtection="1">
      <alignment horizontal="right" vertical="center"/>
    </xf>
    <xf numFmtId="3" fontId="1" fillId="0" borderId="17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/>
    </xf>
    <xf numFmtId="3" fontId="1" fillId="2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horizontal="right" vertical="center"/>
    </xf>
    <xf numFmtId="3" fontId="1" fillId="2" borderId="19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165" fontId="1" fillId="2" borderId="17" xfId="2" applyNumberFormat="1" applyFont="1" applyFill="1" applyBorder="1" applyAlignment="1">
      <alignment vertical="center"/>
    </xf>
    <xf numFmtId="165" fontId="1" fillId="2" borderId="17" xfId="2" applyNumberFormat="1" applyFont="1" applyFill="1" applyBorder="1" applyAlignment="1">
      <alignment horizontal="right" vertical="center"/>
    </xf>
    <xf numFmtId="165" fontId="1" fillId="0" borderId="17" xfId="2" applyNumberFormat="1" applyFont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19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/>
    <xf numFmtId="3" fontId="3" fillId="2" borderId="3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5" fillId="2" borderId="17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/>
    <xf numFmtId="3" fontId="3" fillId="2" borderId="21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1" fillId="2" borderId="17" xfId="0" applyFont="1" applyFill="1" applyBorder="1" applyAlignment="1">
      <alignment horizontal="left" vertical="center" wrapText="1"/>
    </xf>
    <xf numFmtId="3" fontId="11" fillId="2" borderId="17" xfId="1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left" vertical="center"/>
    </xf>
    <xf numFmtId="3" fontId="12" fillId="2" borderId="3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left" vertical="center"/>
    </xf>
    <xf numFmtId="3" fontId="12" fillId="2" borderId="19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vertical="center"/>
    </xf>
    <xf numFmtId="0" fontId="2" fillId="2" borderId="0" xfId="0" applyFont="1" applyFill="1" applyAlignment="1"/>
    <xf numFmtId="0" fontId="5" fillId="2" borderId="0" xfId="0" applyFont="1" applyFill="1" applyAlignment="1">
      <alignment horizontal="right"/>
    </xf>
    <xf numFmtId="0" fontId="1" fillId="2" borderId="0" xfId="0" applyFont="1" applyFill="1"/>
    <xf numFmtId="0" fontId="3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3" fontId="3" fillId="2" borderId="19" xfId="1" applyNumberFormat="1" applyFont="1" applyFill="1" applyBorder="1" applyAlignment="1">
      <alignment vertical="center"/>
    </xf>
    <xf numFmtId="3" fontId="1" fillId="2" borderId="17" xfId="1" applyNumberFormat="1" applyFill="1" applyBorder="1" applyAlignment="1">
      <alignment horizontal="right" vertical="center"/>
    </xf>
    <xf numFmtId="3" fontId="10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1"/>
    </xf>
    <xf numFmtId="3" fontId="3" fillId="0" borderId="3" xfId="0" applyNumberFormat="1" applyFont="1" applyFill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6" fontId="1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167" fontId="1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8"/>
  <sheetViews>
    <sheetView view="pageBreakPreview" zoomScaleSheetLayoutView="100" workbookViewId="0">
      <selection sqref="A1:K1"/>
    </sheetView>
  </sheetViews>
  <sheetFormatPr defaultColWidth="9.140625" defaultRowHeight="12.75"/>
  <cols>
    <col min="1" max="1" width="13.28515625" style="1" customWidth="1"/>
    <col min="2" max="10" width="7" style="1" customWidth="1"/>
    <col min="11" max="11" width="8.85546875" style="1" customWidth="1"/>
    <col min="12" max="12" width="11.85546875" style="1" hidden="1" customWidth="1"/>
    <col min="13" max="13" width="10" style="1" hidden="1" customWidth="1"/>
    <col min="14" max="16" width="0" style="1" hidden="1" customWidth="1"/>
    <col min="17" max="16384" width="9.140625" style="1"/>
  </cols>
  <sheetData>
    <row r="1" spans="1:17" s="15" customFormat="1" ht="60" customHeight="1">
      <c r="A1" s="159" t="s">
        <v>104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72"/>
      <c r="M1" s="14"/>
      <c r="N1" s="14"/>
      <c r="O1" s="14"/>
      <c r="P1" s="14"/>
      <c r="Q1" s="14"/>
    </row>
    <row r="2" spans="1:17" s="20" customFormat="1" ht="12.95" customHeight="1">
      <c r="A2" s="21" t="s">
        <v>163</v>
      </c>
      <c r="B2" s="21"/>
      <c r="C2" s="21"/>
      <c r="D2" s="21"/>
      <c r="E2" s="21"/>
      <c r="F2" s="21"/>
      <c r="G2" s="21"/>
      <c r="H2" s="21"/>
      <c r="I2" s="21"/>
      <c r="J2" s="21"/>
      <c r="K2" s="24" t="s">
        <v>51</v>
      </c>
      <c r="L2" s="12"/>
    </row>
    <row r="3" spans="1:17" ht="78" customHeight="1">
      <c r="A3" s="73" t="s">
        <v>28</v>
      </c>
      <c r="B3" s="74" t="s">
        <v>82</v>
      </c>
      <c r="C3" s="74" t="s">
        <v>22</v>
      </c>
      <c r="D3" s="74" t="s">
        <v>23</v>
      </c>
      <c r="E3" s="74" t="s">
        <v>50</v>
      </c>
      <c r="F3" s="74" t="s">
        <v>25</v>
      </c>
      <c r="G3" s="74" t="s">
        <v>48</v>
      </c>
      <c r="H3" s="74" t="s">
        <v>26</v>
      </c>
      <c r="I3" s="74" t="s">
        <v>53</v>
      </c>
      <c r="J3" s="74" t="s">
        <v>27</v>
      </c>
      <c r="K3" s="74" t="s">
        <v>83</v>
      </c>
      <c r="L3" s="39"/>
    </row>
    <row r="4" spans="1:17" ht="25.5" customHeight="1">
      <c r="A4" s="75" t="s">
        <v>57</v>
      </c>
      <c r="B4" s="48">
        <f t="shared" ref="B4:J4" si="0">SUM(B5:B36)</f>
        <v>2507</v>
      </c>
      <c r="C4" s="48">
        <f t="shared" si="0"/>
        <v>214</v>
      </c>
      <c r="D4" s="48">
        <f t="shared" si="0"/>
        <v>973</v>
      </c>
      <c r="E4" s="48">
        <f t="shared" si="0"/>
        <v>74</v>
      </c>
      <c r="F4" s="48">
        <f t="shared" si="0"/>
        <v>109</v>
      </c>
      <c r="G4" s="48">
        <f t="shared" si="0"/>
        <v>26</v>
      </c>
      <c r="H4" s="48">
        <f t="shared" si="0"/>
        <v>937</v>
      </c>
      <c r="I4" s="48">
        <f t="shared" si="0"/>
        <v>151</v>
      </c>
      <c r="J4" s="48">
        <f t="shared" si="0"/>
        <v>23</v>
      </c>
      <c r="K4" s="76">
        <f t="shared" ref="K4:K36" si="1">L4/B4</f>
        <v>15224.64978061428</v>
      </c>
      <c r="L4" s="109">
        <v>38168197</v>
      </c>
      <c r="M4" s="1">
        <v>38168197</v>
      </c>
      <c r="N4" s="110">
        <f>M4-L4</f>
        <v>0</v>
      </c>
    </row>
    <row r="5" spans="1:17" ht="16.5" customHeight="1">
      <c r="A5" s="10" t="s">
        <v>8</v>
      </c>
      <c r="B5" s="45">
        <f t="shared" ref="B5:B36" si="2">SUM(C5:J5)</f>
        <v>116</v>
      </c>
      <c r="C5" s="45">
        <v>7</v>
      </c>
      <c r="D5" s="45">
        <v>44</v>
      </c>
      <c r="E5" s="35">
        <v>1</v>
      </c>
      <c r="F5" s="45">
        <v>6</v>
      </c>
      <c r="G5" s="35">
        <v>1</v>
      </c>
      <c r="H5" s="35">
        <v>54</v>
      </c>
      <c r="I5" s="35">
        <v>2</v>
      </c>
      <c r="J5" s="35">
        <v>1</v>
      </c>
      <c r="K5" s="77">
        <f>L5/B5</f>
        <v>12192.336206896553</v>
      </c>
      <c r="L5" s="81">
        <v>1414311</v>
      </c>
      <c r="M5" s="1">
        <v>1414311</v>
      </c>
      <c r="N5" s="110">
        <f t="shared" ref="N5:N36" si="3">M5-L5</f>
        <v>0</v>
      </c>
    </row>
    <row r="6" spans="1:17" ht="16.5" customHeight="1">
      <c r="A6" s="78" t="s">
        <v>91</v>
      </c>
      <c r="B6" s="45">
        <f t="shared" si="2"/>
        <v>36</v>
      </c>
      <c r="C6" s="79">
        <v>4</v>
      </c>
      <c r="D6" s="79">
        <v>8</v>
      </c>
      <c r="E6" s="35">
        <v>3</v>
      </c>
      <c r="F6" s="45">
        <v>2</v>
      </c>
      <c r="G6" s="35">
        <v>0</v>
      </c>
      <c r="H6" s="35">
        <v>19</v>
      </c>
      <c r="I6" s="35">
        <v>0</v>
      </c>
      <c r="J6" s="35">
        <v>0</v>
      </c>
      <c r="K6" s="77">
        <f t="shared" si="1"/>
        <v>32919.277777777781</v>
      </c>
      <c r="L6" s="81">
        <v>1185094</v>
      </c>
      <c r="M6" s="20">
        <v>1185094</v>
      </c>
      <c r="N6" s="110">
        <f t="shared" si="3"/>
        <v>0</v>
      </c>
      <c r="O6" s="20"/>
      <c r="P6" s="20"/>
      <c r="Q6" s="20"/>
    </row>
    <row r="7" spans="1:17" ht="16.5" customHeight="1">
      <c r="A7" s="10" t="s">
        <v>13</v>
      </c>
      <c r="B7" s="45">
        <f t="shared" si="2"/>
        <v>205</v>
      </c>
      <c r="C7" s="45">
        <v>7</v>
      </c>
      <c r="D7" s="45">
        <v>135</v>
      </c>
      <c r="E7" s="35">
        <v>2</v>
      </c>
      <c r="F7" s="45">
        <v>2</v>
      </c>
      <c r="G7" s="35">
        <v>0</v>
      </c>
      <c r="H7" s="35">
        <v>45</v>
      </c>
      <c r="I7" s="35">
        <v>14</v>
      </c>
      <c r="J7" s="35">
        <v>0</v>
      </c>
      <c r="K7" s="77">
        <f t="shared" si="1"/>
        <v>6368.5804878048784</v>
      </c>
      <c r="L7" s="81">
        <v>1305559</v>
      </c>
      <c r="M7" s="1">
        <v>1305559</v>
      </c>
      <c r="N7" s="110">
        <f t="shared" si="3"/>
        <v>0</v>
      </c>
    </row>
    <row r="8" spans="1:17" ht="16.5" customHeight="1">
      <c r="A8" s="10" t="s">
        <v>11</v>
      </c>
      <c r="B8" s="45">
        <f t="shared" si="2"/>
        <v>46</v>
      </c>
      <c r="C8" s="45">
        <v>2</v>
      </c>
      <c r="D8" s="45">
        <v>10</v>
      </c>
      <c r="E8" s="35">
        <v>1</v>
      </c>
      <c r="F8" s="45">
        <v>2</v>
      </c>
      <c r="G8" s="35">
        <v>0</v>
      </c>
      <c r="H8" s="35">
        <v>28</v>
      </c>
      <c r="I8" s="35">
        <v>1</v>
      </c>
      <c r="J8" s="35">
        <v>2</v>
      </c>
      <c r="K8" s="77">
        <f t="shared" si="1"/>
        <v>11033.630434782608</v>
      </c>
      <c r="L8" s="81">
        <v>507547</v>
      </c>
      <c r="M8" s="1">
        <v>507547</v>
      </c>
      <c r="N8" s="110">
        <f t="shared" si="3"/>
        <v>0</v>
      </c>
    </row>
    <row r="9" spans="1:17" ht="16.5" customHeight="1">
      <c r="A9" s="10" t="s">
        <v>20</v>
      </c>
      <c r="B9" s="45">
        <f t="shared" si="2"/>
        <v>38</v>
      </c>
      <c r="C9" s="45">
        <v>4</v>
      </c>
      <c r="D9" s="45">
        <v>8</v>
      </c>
      <c r="E9" s="35">
        <v>1</v>
      </c>
      <c r="F9" s="45">
        <v>4</v>
      </c>
      <c r="G9" s="35">
        <v>0</v>
      </c>
      <c r="H9" s="35">
        <v>18</v>
      </c>
      <c r="I9" s="35">
        <v>0</v>
      </c>
      <c r="J9" s="35">
        <v>3</v>
      </c>
      <c r="K9" s="77">
        <f t="shared" si="1"/>
        <v>25474.947368421053</v>
      </c>
      <c r="L9" s="81">
        <v>968048</v>
      </c>
      <c r="M9" s="1">
        <v>968048</v>
      </c>
      <c r="N9" s="110">
        <f t="shared" si="3"/>
        <v>0</v>
      </c>
    </row>
    <row r="10" spans="1:17" ht="16.5" customHeight="1">
      <c r="A10" s="10" t="s">
        <v>2</v>
      </c>
      <c r="B10" s="45">
        <f t="shared" si="2"/>
        <v>62</v>
      </c>
      <c r="C10" s="45">
        <v>5</v>
      </c>
      <c r="D10" s="45">
        <v>7</v>
      </c>
      <c r="E10" s="35">
        <v>0</v>
      </c>
      <c r="F10" s="45">
        <v>3</v>
      </c>
      <c r="G10" s="35">
        <v>1</v>
      </c>
      <c r="H10" s="35">
        <v>44</v>
      </c>
      <c r="I10" s="35">
        <v>1</v>
      </c>
      <c r="J10" s="35">
        <v>1</v>
      </c>
      <c r="K10" s="77">
        <f t="shared" si="1"/>
        <v>27727.887096774193</v>
      </c>
      <c r="L10" s="81">
        <v>1719129</v>
      </c>
      <c r="M10" s="1">
        <v>1719129</v>
      </c>
      <c r="N10" s="110">
        <f t="shared" si="3"/>
        <v>0</v>
      </c>
    </row>
    <row r="11" spans="1:17" ht="16.5" customHeight="1">
      <c r="A11" s="10" t="s">
        <v>17</v>
      </c>
      <c r="B11" s="45">
        <f t="shared" si="2"/>
        <v>65</v>
      </c>
      <c r="C11" s="45">
        <v>4</v>
      </c>
      <c r="D11" s="45">
        <v>29</v>
      </c>
      <c r="E11" s="35">
        <v>2</v>
      </c>
      <c r="F11" s="45">
        <v>6</v>
      </c>
      <c r="G11" s="35">
        <v>0</v>
      </c>
      <c r="H11" s="35">
        <v>19</v>
      </c>
      <c r="I11" s="35">
        <v>2</v>
      </c>
      <c r="J11" s="35">
        <v>3</v>
      </c>
      <c r="K11" s="77">
        <f t="shared" si="1"/>
        <v>7213.8461538461543</v>
      </c>
      <c r="L11" s="81">
        <v>468900</v>
      </c>
      <c r="M11" s="1">
        <v>468900</v>
      </c>
      <c r="N11" s="110">
        <f t="shared" si="3"/>
        <v>0</v>
      </c>
    </row>
    <row r="12" spans="1:17" ht="16.5" customHeight="1">
      <c r="A12" s="10" t="s">
        <v>69</v>
      </c>
      <c r="B12" s="45">
        <f t="shared" si="2"/>
        <v>104</v>
      </c>
      <c r="C12" s="45">
        <v>12</v>
      </c>
      <c r="D12" s="45">
        <v>39</v>
      </c>
      <c r="E12" s="35">
        <v>1</v>
      </c>
      <c r="F12" s="45">
        <v>3</v>
      </c>
      <c r="G12" s="35">
        <v>1</v>
      </c>
      <c r="H12" s="35">
        <v>41</v>
      </c>
      <c r="I12" s="35">
        <v>7</v>
      </c>
      <c r="J12" s="35">
        <v>0</v>
      </c>
      <c r="K12" s="77">
        <f t="shared" si="1"/>
        <v>17841.836538461539</v>
      </c>
      <c r="L12" s="81">
        <v>1855551</v>
      </c>
      <c r="M12" s="1">
        <v>1855551</v>
      </c>
      <c r="N12" s="110">
        <f t="shared" si="3"/>
        <v>0</v>
      </c>
    </row>
    <row r="13" spans="1:17" ht="16.5" customHeight="1">
      <c r="A13" s="10" t="s">
        <v>70</v>
      </c>
      <c r="B13" s="45">
        <f t="shared" si="2"/>
        <v>73</v>
      </c>
      <c r="C13" s="45">
        <v>7</v>
      </c>
      <c r="D13" s="45">
        <v>19</v>
      </c>
      <c r="E13" s="35">
        <v>1</v>
      </c>
      <c r="F13" s="45">
        <v>4</v>
      </c>
      <c r="G13" s="35">
        <v>2</v>
      </c>
      <c r="H13" s="35">
        <v>31</v>
      </c>
      <c r="I13" s="35">
        <v>7</v>
      </c>
      <c r="J13" s="35">
        <v>2</v>
      </c>
      <c r="K13" s="77">
        <f t="shared" si="1"/>
        <v>21390.821917808218</v>
      </c>
      <c r="L13" s="81">
        <v>1561530</v>
      </c>
      <c r="M13" s="1">
        <v>1561530</v>
      </c>
      <c r="N13" s="110">
        <f t="shared" si="3"/>
        <v>0</v>
      </c>
    </row>
    <row r="14" spans="1:17" ht="16.5" customHeight="1">
      <c r="A14" s="10" t="s">
        <v>71</v>
      </c>
      <c r="B14" s="45">
        <f t="shared" si="2"/>
        <v>58</v>
      </c>
      <c r="C14" s="45">
        <v>5</v>
      </c>
      <c r="D14" s="45">
        <v>11</v>
      </c>
      <c r="E14" s="35">
        <v>1</v>
      </c>
      <c r="F14" s="45">
        <v>4</v>
      </c>
      <c r="G14" s="35">
        <v>3</v>
      </c>
      <c r="H14" s="35">
        <v>30</v>
      </c>
      <c r="I14" s="35">
        <v>1</v>
      </c>
      <c r="J14" s="35">
        <v>3</v>
      </c>
      <c r="K14" s="77">
        <f t="shared" si="1"/>
        <v>17756.913793103449</v>
      </c>
      <c r="L14" s="81">
        <v>1029901</v>
      </c>
      <c r="M14" s="1">
        <v>1029901</v>
      </c>
      <c r="N14" s="110">
        <f t="shared" si="3"/>
        <v>0</v>
      </c>
    </row>
    <row r="15" spans="1:17" ht="16.5" customHeight="1">
      <c r="A15" s="10" t="s">
        <v>6</v>
      </c>
      <c r="B15" s="45">
        <f t="shared" si="2"/>
        <v>31</v>
      </c>
      <c r="C15" s="45">
        <v>6</v>
      </c>
      <c r="D15" s="45">
        <v>2</v>
      </c>
      <c r="E15" s="35">
        <v>4</v>
      </c>
      <c r="F15" s="45">
        <v>1</v>
      </c>
      <c r="G15" s="35">
        <v>2</v>
      </c>
      <c r="H15" s="35">
        <v>14</v>
      </c>
      <c r="I15" s="35">
        <v>2</v>
      </c>
      <c r="J15" s="35">
        <v>0</v>
      </c>
      <c r="K15" s="77">
        <f t="shared" si="1"/>
        <v>17973.548387096773</v>
      </c>
      <c r="L15" s="81">
        <v>557180</v>
      </c>
      <c r="M15" s="1">
        <v>557180</v>
      </c>
      <c r="N15" s="110">
        <f t="shared" si="3"/>
        <v>0</v>
      </c>
    </row>
    <row r="16" spans="1:17" ht="16.5" customHeight="1">
      <c r="A16" s="10" t="s">
        <v>9</v>
      </c>
      <c r="B16" s="45">
        <f t="shared" si="2"/>
        <v>76</v>
      </c>
      <c r="C16" s="45">
        <v>10</v>
      </c>
      <c r="D16" s="45">
        <v>11</v>
      </c>
      <c r="E16" s="35">
        <v>1</v>
      </c>
      <c r="F16" s="45">
        <v>5</v>
      </c>
      <c r="G16" s="35">
        <v>6</v>
      </c>
      <c r="H16" s="35">
        <v>40</v>
      </c>
      <c r="I16" s="35">
        <v>2</v>
      </c>
      <c r="J16" s="35">
        <v>1</v>
      </c>
      <c r="K16" s="77">
        <f t="shared" si="1"/>
        <v>13891.671052631578</v>
      </c>
      <c r="L16" s="81">
        <v>1055767</v>
      </c>
      <c r="M16" s="1">
        <v>1055767</v>
      </c>
      <c r="N16" s="110">
        <f t="shared" si="3"/>
        <v>0</v>
      </c>
    </row>
    <row r="17" spans="1:17" ht="16.5" customHeight="1">
      <c r="A17" s="10" t="s">
        <v>7</v>
      </c>
      <c r="B17" s="45">
        <f t="shared" si="2"/>
        <v>38</v>
      </c>
      <c r="C17" s="45">
        <v>9</v>
      </c>
      <c r="D17" s="45">
        <v>3</v>
      </c>
      <c r="E17" s="35">
        <v>1</v>
      </c>
      <c r="F17" s="45">
        <v>4</v>
      </c>
      <c r="G17" s="35">
        <v>0</v>
      </c>
      <c r="H17" s="35">
        <v>19</v>
      </c>
      <c r="I17" s="35">
        <v>2</v>
      </c>
      <c r="J17" s="35">
        <v>0</v>
      </c>
      <c r="K17" s="77">
        <f t="shared" si="1"/>
        <v>19854.657894736843</v>
      </c>
      <c r="L17" s="81">
        <v>754477</v>
      </c>
      <c r="M17" s="1">
        <v>754477</v>
      </c>
      <c r="N17" s="110">
        <f t="shared" si="3"/>
        <v>0</v>
      </c>
    </row>
    <row r="18" spans="1:17" ht="16.5" customHeight="1">
      <c r="A18" s="78" t="s">
        <v>92</v>
      </c>
      <c r="B18" s="45">
        <f t="shared" si="2"/>
        <v>50</v>
      </c>
      <c r="C18" s="79">
        <v>5</v>
      </c>
      <c r="D18" s="79">
        <v>26</v>
      </c>
      <c r="E18" s="35">
        <v>4</v>
      </c>
      <c r="F18" s="45">
        <v>0</v>
      </c>
      <c r="G18" s="35">
        <v>0</v>
      </c>
      <c r="H18" s="35">
        <v>13</v>
      </c>
      <c r="I18" s="35">
        <v>2</v>
      </c>
      <c r="J18" s="35">
        <v>0</v>
      </c>
      <c r="K18" s="77">
        <f t="shared" si="1"/>
        <v>21334.42</v>
      </c>
      <c r="L18" s="81">
        <v>1066721</v>
      </c>
      <c r="M18" s="1">
        <v>1066721</v>
      </c>
      <c r="N18" s="110">
        <f t="shared" si="3"/>
        <v>0</v>
      </c>
    </row>
    <row r="19" spans="1:17" ht="16.5" customHeight="1">
      <c r="A19" s="10" t="s">
        <v>5</v>
      </c>
      <c r="B19" s="45">
        <f t="shared" si="2"/>
        <v>63</v>
      </c>
      <c r="C19" s="45">
        <v>7</v>
      </c>
      <c r="D19" s="45">
        <v>17</v>
      </c>
      <c r="E19" s="35">
        <v>1</v>
      </c>
      <c r="F19" s="45">
        <v>4</v>
      </c>
      <c r="G19" s="35">
        <v>3</v>
      </c>
      <c r="H19" s="35">
        <v>29</v>
      </c>
      <c r="I19" s="35">
        <v>2</v>
      </c>
      <c r="J19" s="35">
        <v>0</v>
      </c>
      <c r="K19" s="77">
        <f t="shared" si="1"/>
        <v>18989.349206349205</v>
      </c>
      <c r="L19" s="81">
        <v>1196329</v>
      </c>
      <c r="M19" s="1">
        <v>1196329</v>
      </c>
      <c r="N19" s="110">
        <f t="shared" si="3"/>
        <v>0</v>
      </c>
    </row>
    <row r="20" spans="1:17" ht="16.5" customHeight="1">
      <c r="A20" s="10" t="s">
        <v>12</v>
      </c>
      <c r="B20" s="45">
        <f t="shared" si="2"/>
        <v>44</v>
      </c>
      <c r="C20" s="45">
        <v>0</v>
      </c>
      <c r="D20" s="45">
        <v>4</v>
      </c>
      <c r="E20" s="35">
        <v>1</v>
      </c>
      <c r="F20" s="45">
        <v>4</v>
      </c>
      <c r="G20" s="35">
        <v>0</v>
      </c>
      <c r="H20" s="35">
        <v>33</v>
      </c>
      <c r="I20" s="35">
        <v>0</v>
      </c>
      <c r="J20" s="35">
        <v>2</v>
      </c>
      <c r="K20" s="77">
        <f t="shared" si="1"/>
        <v>19114.886363636364</v>
      </c>
      <c r="L20" s="81">
        <v>841055</v>
      </c>
      <c r="M20" s="1">
        <v>841055</v>
      </c>
      <c r="N20" s="110">
        <f t="shared" si="3"/>
        <v>0</v>
      </c>
    </row>
    <row r="21" spans="1:17" ht="16.5" customHeight="1">
      <c r="A21" s="78" t="s">
        <v>93</v>
      </c>
      <c r="B21" s="45">
        <f t="shared" si="2"/>
        <v>77</v>
      </c>
      <c r="C21" s="79">
        <v>5</v>
      </c>
      <c r="D21" s="79">
        <v>47</v>
      </c>
      <c r="E21" s="35">
        <v>3</v>
      </c>
      <c r="F21" s="45">
        <v>0</v>
      </c>
      <c r="G21" s="35">
        <v>0</v>
      </c>
      <c r="H21" s="35">
        <v>21</v>
      </c>
      <c r="I21" s="35">
        <v>1</v>
      </c>
      <c r="J21" s="35">
        <v>0</v>
      </c>
      <c r="K21" s="77">
        <f t="shared" si="1"/>
        <v>8346.0129870129877</v>
      </c>
      <c r="L21" s="81">
        <v>642643</v>
      </c>
      <c r="M21" s="20">
        <v>642643</v>
      </c>
      <c r="N21" s="110">
        <f t="shared" si="3"/>
        <v>0</v>
      </c>
      <c r="O21" s="20"/>
      <c r="P21" s="20"/>
      <c r="Q21" s="20"/>
    </row>
    <row r="22" spans="1:17" ht="16.5" customHeight="1">
      <c r="A22" s="10" t="s">
        <v>72</v>
      </c>
      <c r="B22" s="45">
        <f t="shared" si="2"/>
        <v>70</v>
      </c>
      <c r="C22" s="45">
        <v>5</v>
      </c>
      <c r="D22" s="45">
        <v>19</v>
      </c>
      <c r="E22" s="35">
        <v>8</v>
      </c>
      <c r="F22" s="45">
        <v>4</v>
      </c>
      <c r="G22" s="35">
        <v>2</v>
      </c>
      <c r="H22" s="35">
        <v>30</v>
      </c>
      <c r="I22" s="35">
        <v>2</v>
      </c>
      <c r="J22" s="35">
        <v>0</v>
      </c>
      <c r="K22" s="77">
        <f t="shared" si="1"/>
        <v>14045.128571428571</v>
      </c>
      <c r="L22" s="81">
        <v>983159</v>
      </c>
      <c r="M22" s="1">
        <v>983159</v>
      </c>
      <c r="N22" s="110">
        <f t="shared" si="3"/>
        <v>0</v>
      </c>
    </row>
    <row r="23" spans="1:17" ht="16.5" customHeight="1">
      <c r="A23" s="10" t="s">
        <v>21</v>
      </c>
      <c r="B23" s="45">
        <f t="shared" si="2"/>
        <v>44</v>
      </c>
      <c r="C23" s="45">
        <v>6</v>
      </c>
      <c r="D23" s="45">
        <v>11</v>
      </c>
      <c r="E23" s="35">
        <v>0</v>
      </c>
      <c r="F23" s="45">
        <v>5</v>
      </c>
      <c r="G23" s="35">
        <v>0</v>
      </c>
      <c r="H23" s="35">
        <v>20</v>
      </c>
      <c r="I23" s="35">
        <v>2</v>
      </c>
      <c r="J23" s="35">
        <v>0</v>
      </c>
      <c r="K23" s="77">
        <f t="shared" si="1"/>
        <v>17379</v>
      </c>
      <c r="L23" s="81">
        <v>764676</v>
      </c>
      <c r="M23" s="1">
        <v>764676</v>
      </c>
      <c r="N23" s="110">
        <f t="shared" si="3"/>
        <v>0</v>
      </c>
    </row>
    <row r="24" spans="1:17" ht="16.5" customHeight="1">
      <c r="A24" s="10" t="s">
        <v>10</v>
      </c>
      <c r="B24" s="45">
        <f t="shared" si="2"/>
        <v>139</v>
      </c>
      <c r="C24" s="45">
        <v>12</v>
      </c>
      <c r="D24" s="45">
        <v>60</v>
      </c>
      <c r="E24" s="35">
        <v>1</v>
      </c>
      <c r="F24" s="45">
        <v>13</v>
      </c>
      <c r="G24" s="35">
        <v>0</v>
      </c>
      <c r="H24" s="35">
        <v>50</v>
      </c>
      <c r="I24" s="35">
        <v>3</v>
      </c>
      <c r="J24" s="35">
        <v>0</v>
      </c>
      <c r="K24" s="77">
        <f t="shared" si="1"/>
        <v>11959.762589928057</v>
      </c>
      <c r="L24" s="81">
        <v>1662407</v>
      </c>
      <c r="M24" s="1">
        <v>1662407</v>
      </c>
      <c r="N24" s="110">
        <f t="shared" si="3"/>
        <v>0</v>
      </c>
    </row>
    <row r="25" spans="1:17" ht="16.5" customHeight="1">
      <c r="A25" s="10" t="s">
        <v>3</v>
      </c>
      <c r="B25" s="45">
        <f t="shared" si="2"/>
        <v>83</v>
      </c>
      <c r="C25" s="45">
        <v>8</v>
      </c>
      <c r="D25" s="45">
        <v>18</v>
      </c>
      <c r="E25" s="35">
        <v>1</v>
      </c>
      <c r="F25" s="45">
        <v>4</v>
      </c>
      <c r="G25" s="35">
        <v>0</v>
      </c>
      <c r="H25" s="35">
        <v>49</v>
      </c>
      <c r="I25" s="35">
        <v>2</v>
      </c>
      <c r="J25" s="35">
        <v>1</v>
      </c>
      <c r="K25" s="77">
        <f t="shared" si="1"/>
        <v>30653.072289156626</v>
      </c>
      <c r="L25" s="81">
        <v>2544205</v>
      </c>
      <c r="M25" s="1">
        <v>2544205</v>
      </c>
      <c r="N25" s="110">
        <f t="shared" si="3"/>
        <v>0</v>
      </c>
    </row>
    <row r="26" spans="1:17" ht="16.5" customHeight="1">
      <c r="A26" s="78" t="s">
        <v>94</v>
      </c>
      <c r="B26" s="45">
        <f t="shared" si="2"/>
        <v>52</v>
      </c>
      <c r="C26" s="79">
        <v>3</v>
      </c>
      <c r="D26" s="79">
        <v>19</v>
      </c>
      <c r="E26" s="35">
        <v>3</v>
      </c>
      <c r="F26" s="45">
        <v>3</v>
      </c>
      <c r="G26" s="35">
        <v>0</v>
      </c>
      <c r="H26" s="35">
        <v>24</v>
      </c>
      <c r="I26" s="35">
        <v>0</v>
      </c>
      <c r="J26" s="35">
        <v>0</v>
      </c>
      <c r="K26" s="77">
        <f t="shared" si="1"/>
        <v>9567.788461538461</v>
      </c>
      <c r="L26" s="81">
        <v>497525</v>
      </c>
      <c r="M26" s="1">
        <v>497525</v>
      </c>
      <c r="N26" s="110">
        <f t="shared" si="3"/>
        <v>0</v>
      </c>
    </row>
    <row r="27" spans="1:17" ht="16.5" customHeight="1">
      <c r="A27" s="78" t="s">
        <v>96</v>
      </c>
      <c r="B27" s="45">
        <f t="shared" si="2"/>
        <v>304</v>
      </c>
      <c r="C27" s="79">
        <v>9</v>
      </c>
      <c r="D27" s="79">
        <v>191</v>
      </c>
      <c r="E27" s="35">
        <v>5</v>
      </c>
      <c r="F27" s="45">
        <v>1</v>
      </c>
      <c r="G27" s="35">
        <v>3</v>
      </c>
      <c r="H27" s="35">
        <v>16</v>
      </c>
      <c r="I27" s="35">
        <v>79</v>
      </c>
      <c r="J27" s="35">
        <v>0</v>
      </c>
      <c r="K27" s="77">
        <f t="shared" si="1"/>
        <v>1878.8552631578948</v>
      </c>
      <c r="L27" s="81">
        <v>571172</v>
      </c>
      <c r="M27" s="1">
        <v>571172</v>
      </c>
      <c r="N27" s="110">
        <f t="shared" si="3"/>
        <v>0</v>
      </c>
    </row>
    <row r="28" spans="1:17" ht="16.5" customHeight="1">
      <c r="A28" s="10" t="s">
        <v>1</v>
      </c>
      <c r="B28" s="45">
        <f t="shared" si="2"/>
        <v>60</v>
      </c>
      <c r="C28" s="45">
        <v>9</v>
      </c>
      <c r="D28" s="45">
        <v>14</v>
      </c>
      <c r="E28" s="35">
        <v>1</v>
      </c>
      <c r="F28" s="45">
        <v>5</v>
      </c>
      <c r="G28" s="35">
        <v>0</v>
      </c>
      <c r="H28" s="35">
        <v>29</v>
      </c>
      <c r="I28" s="36">
        <v>2</v>
      </c>
      <c r="J28" s="36">
        <v>0</v>
      </c>
      <c r="K28" s="77">
        <f t="shared" si="1"/>
        <v>27434.216666666667</v>
      </c>
      <c r="L28" s="81">
        <v>1646053</v>
      </c>
      <c r="M28" s="1">
        <v>1646053</v>
      </c>
      <c r="N28" s="110">
        <f t="shared" si="3"/>
        <v>0</v>
      </c>
    </row>
    <row r="29" spans="1:17" ht="16.5" customHeight="1">
      <c r="A29" s="78" t="s">
        <v>95</v>
      </c>
      <c r="B29" s="45">
        <f t="shared" si="2"/>
        <v>65</v>
      </c>
      <c r="C29" s="45">
        <v>5</v>
      </c>
      <c r="D29" s="45">
        <v>30</v>
      </c>
      <c r="E29" s="35">
        <v>6</v>
      </c>
      <c r="F29" s="45">
        <v>1</v>
      </c>
      <c r="G29" s="35">
        <v>0</v>
      </c>
      <c r="H29" s="37">
        <v>23</v>
      </c>
      <c r="I29" s="45">
        <v>0</v>
      </c>
      <c r="J29" s="45">
        <v>0</v>
      </c>
      <c r="K29" s="77">
        <f t="shared" si="1"/>
        <v>3979.7076923076925</v>
      </c>
      <c r="L29" s="81">
        <v>258681</v>
      </c>
      <c r="M29" s="1">
        <v>258681</v>
      </c>
      <c r="N29" s="110">
        <f t="shared" si="3"/>
        <v>0</v>
      </c>
    </row>
    <row r="30" spans="1:17" s="20" customFormat="1" ht="16.5" customHeight="1">
      <c r="A30" s="80" t="s">
        <v>0</v>
      </c>
      <c r="B30" s="45">
        <f t="shared" si="2"/>
        <v>135</v>
      </c>
      <c r="C30" s="45">
        <v>22</v>
      </c>
      <c r="D30" s="45">
        <v>45</v>
      </c>
      <c r="E30" s="45">
        <v>5</v>
      </c>
      <c r="F30" s="45">
        <v>4</v>
      </c>
      <c r="G30" s="45">
        <v>0</v>
      </c>
      <c r="H30" s="38">
        <v>54</v>
      </c>
      <c r="I30" s="45">
        <v>5</v>
      </c>
      <c r="J30" s="45">
        <v>0</v>
      </c>
      <c r="K30" s="77">
        <f t="shared" si="1"/>
        <v>35647.059259259258</v>
      </c>
      <c r="L30" s="81">
        <v>4812353</v>
      </c>
      <c r="M30" s="1">
        <v>4812353</v>
      </c>
      <c r="N30" s="110">
        <f t="shared" si="3"/>
        <v>0</v>
      </c>
      <c r="O30" s="1"/>
      <c r="P30" s="1"/>
      <c r="Q30" s="1"/>
    </row>
    <row r="31" spans="1:17" ht="16.5" customHeight="1">
      <c r="A31" s="80" t="s">
        <v>19</v>
      </c>
      <c r="B31" s="45">
        <f>SUM(C31:J31)</f>
        <v>42</v>
      </c>
      <c r="C31" s="79">
        <v>4</v>
      </c>
      <c r="D31" s="45">
        <v>12</v>
      </c>
      <c r="E31" s="45">
        <v>5</v>
      </c>
      <c r="F31" s="45">
        <v>1</v>
      </c>
      <c r="G31" s="45">
        <v>0</v>
      </c>
      <c r="H31" s="38">
        <v>19</v>
      </c>
      <c r="I31" s="45">
        <v>1</v>
      </c>
      <c r="J31" s="45">
        <v>0</v>
      </c>
      <c r="K31" s="77">
        <f>L31/B31</f>
        <v>19522.404761904763</v>
      </c>
      <c r="L31" s="81">
        <v>819941</v>
      </c>
      <c r="M31" s="1">
        <v>819941</v>
      </c>
      <c r="N31" s="110">
        <f t="shared" si="3"/>
        <v>0</v>
      </c>
      <c r="O31" s="1">
        <v>819941</v>
      </c>
    </row>
    <row r="32" spans="1:17" s="20" customFormat="1" ht="16.5" customHeight="1">
      <c r="A32" s="63" t="s">
        <v>97</v>
      </c>
      <c r="B32" s="45">
        <f t="shared" si="2"/>
        <v>88</v>
      </c>
      <c r="C32" s="45">
        <v>10</v>
      </c>
      <c r="D32" s="79">
        <v>56</v>
      </c>
      <c r="E32" s="45">
        <v>4</v>
      </c>
      <c r="F32" s="45">
        <v>0</v>
      </c>
      <c r="G32" s="45">
        <v>0</v>
      </c>
      <c r="H32" s="38">
        <v>16</v>
      </c>
      <c r="I32" s="45">
        <v>2</v>
      </c>
      <c r="J32" s="45">
        <v>0</v>
      </c>
      <c r="K32" s="77">
        <f t="shared" si="1"/>
        <v>8161.454545454545</v>
      </c>
      <c r="L32" s="81">
        <v>718208</v>
      </c>
      <c r="M32" s="1">
        <v>718208</v>
      </c>
      <c r="N32" s="110">
        <f t="shared" si="3"/>
        <v>0</v>
      </c>
      <c r="O32" s="1"/>
      <c r="P32" s="1"/>
      <c r="Q32" s="1"/>
    </row>
    <row r="33" spans="1:14" ht="16.5" customHeight="1">
      <c r="A33" s="80" t="s">
        <v>4</v>
      </c>
      <c r="B33" s="45">
        <f t="shared" si="2"/>
        <v>66</v>
      </c>
      <c r="C33" s="45">
        <v>7</v>
      </c>
      <c r="D33" s="45">
        <v>10</v>
      </c>
      <c r="E33" s="45">
        <v>2</v>
      </c>
      <c r="F33" s="45">
        <v>8</v>
      </c>
      <c r="G33" s="45">
        <v>0</v>
      </c>
      <c r="H33" s="38">
        <v>35</v>
      </c>
      <c r="I33" s="45">
        <v>3</v>
      </c>
      <c r="J33" s="45">
        <v>1</v>
      </c>
      <c r="K33" s="77">
        <f t="shared" si="1"/>
        <v>26296.090909090908</v>
      </c>
      <c r="L33" s="81">
        <v>1735542</v>
      </c>
      <c r="M33" s="1">
        <v>1735542</v>
      </c>
      <c r="N33" s="110">
        <f t="shared" si="3"/>
        <v>0</v>
      </c>
    </row>
    <row r="34" spans="1:14" ht="16.5" customHeight="1">
      <c r="A34" s="80" t="s">
        <v>18</v>
      </c>
      <c r="B34" s="45">
        <f t="shared" si="2"/>
        <v>81</v>
      </c>
      <c r="C34" s="45">
        <v>10</v>
      </c>
      <c r="D34" s="45">
        <v>20</v>
      </c>
      <c r="E34" s="45">
        <v>1</v>
      </c>
      <c r="F34" s="45">
        <v>3</v>
      </c>
      <c r="G34" s="45">
        <v>0</v>
      </c>
      <c r="H34" s="38">
        <v>41</v>
      </c>
      <c r="I34" s="45">
        <v>3</v>
      </c>
      <c r="J34" s="45">
        <v>3</v>
      </c>
      <c r="K34" s="77">
        <f t="shared" si="1"/>
        <v>30967.839506172841</v>
      </c>
      <c r="L34" s="81">
        <v>2508395</v>
      </c>
      <c r="M34" s="1">
        <v>2508395</v>
      </c>
      <c r="N34" s="110">
        <f t="shared" si="3"/>
        <v>0</v>
      </c>
    </row>
    <row r="35" spans="1:14" ht="16.5" customHeight="1">
      <c r="A35" s="80" t="s">
        <v>16</v>
      </c>
      <c r="B35" s="45">
        <f t="shared" si="2"/>
        <v>86</v>
      </c>
      <c r="C35" s="45">
        <v>5</v>
      </c>
      <c r="D35" s="45">
        <v>48</v>
      </c>
      <c r="E35" s="45">
        <v>4</v>
      </c>
      <c r="F35" s="45">
        <v>3</v>
      </c>
      <c r="G35" s="45">
        <v>2</v>
      </c>
      <c r="H35" s="38">
        <v>23</v>
      </c>
      <c r="I35" s="45">
        <v>1</v>
      </c>
      <c r="J35" s="45">
        <v>0</v>
      </c>
      <c r="K35" s="77">
        <f t="shared" si="1"/>
        <v>5300.3139534883721</v>
      </c>
      <c r="L35" s="81">
        <v>455827</v>
      </c>
      <c r="M35" s="1">
        <v>455827</v>
      </c>
      <c r="N35" s="110">
        <f t="shared" si="3"/>
        <v>0</v>
      </c>
    </row>
    <row r="36" spans="1:14" ht="16.5" customHeight="1">
      <c r="A36" s="80" t="s">
        <v>73</v>
      </c>
      <c r="B36" s="45">
        <f t="shared" si="2"/>
        <v>10</v>
      </c>
      <c r="C36" s="81">
        <v>0</v>
      </c>
      <c r="D36" s="81">
        <v>0</v>
      </c>
      <c r="E36" s="45">
        <v>0</v>
      </c>
      <c r="F36" s="81">
        <v>0</v>
      </c>
      <c r="G36" s="45">
        <v>0</v>
      </c>
      <c r="H36" s="38">
        <v>10</v>
      </c>
      <c r="I36" s="45">
        <v>0</v>
      </c>
      <c r="J36" s="45">
        <v>0</v>
      </c>
      <c r="K36" s="77">
        <f t="shared" si="1"/>
        <v>18762</v>
      </c>
      <c r="L36" s="81">
        <v>187620</v>
      </c>
      <c r="M36" s="1">
        <v>171815</v>
      </c>
      <c r="N36" s="110">
        <f t="shared" si="3"/>
        <v>-15805</v>
      </c>
    </row>
    <row r="37" spans="1:14" s="20" customFormat="1" ht="9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4" s="20" customFormat="1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3" t="s">
        <v>90</v>
      </c>
      <c r="L38" s="12"/>
    </row>
  </sheetData>
  <sortState ref="A5:Q36">
    <sortCondition ref="A5:A36"/>
  </sortState>
  <mergeCells count="1">
    <mergeCell ref="A1:K1"/>
  </mergeCells>
  <phoneticPr fontId="0" type="noConversion"/>
  <printOptions horizontalCentered="1"/>
  <pageMargins left="0.75" right="0.75" top="1" bottom="0.75" header="0.5" footer="0.5"/>
  <pageSetup paperSize="9" firstPageNumber="51" orientation="portrait" useFirstPageNumber="1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3"/>
  <sheetViews>
    <sheetView view="pageBreakPreview" zoomScaleSheetLayoutView="100" workbookViewId="0">
      <selection activeCell="E2" sqref="E2"/>
    </sheetView>
  </sheetViews>
  <sheetFormatPr defaultColWidth="9.140625" defaultRowHeight="12.75"/>
  <cols>
    <col min="1" max="1" width="4.42578125" style="4" customWidth="1"/>
    <col min="2" max="2" width="19.28515625" style="4" customWidth="1"/>
    <col min="3" max="3" width="9.85546875" style="4" customWidth="1"/>
    <col min="4" max="4" width="8.7109375" style="4" customWidth="1"/>
    <col min="5" max="5" width="7.28515625" style="4" customWidth="1"/>
    <col min="6" max="6" width="8.85546875" style="4" customWidth="1"/>
    <col min="7" max="7" width="9" style="4" customWidth="1"/>
    <col min="8" max="8" width="8.85546875" style="4" customWidth="1"/>
    <col min="9" max="9" width="10.140625" style="4" customWidth="1"/>
    <col min="10" max="16384" width="9.140625" style="4"/>
  </cols>
  <sheetData>
    <row r="1" spans="1:9" s="16" customFormat="1" ht="60" customHeight="1">
      <c r="A1" s="162" t="s">
        <v>154</v>
      </c>
      <c r="B1" s="162"/>
      <c r="C1" s="162"/>
      <c r="D1" s="162"/>
      <c r="E1" s="162"/>
      <c r="F1" s="162"/>
      <c r="G1" s="162"/>
      <c r="H1" s="162"/>
      <c r="I1" s="162"/>
    </row>
    <row r="2" spans="1:9" s="12" customFormat="1" ht="12.95" customHeight="1">
      <c r="A2" s="175" t="s">
        <v>103</v>
      </c>
      <c r="B2" s="175"/>
      <c r="C2" s="113"/>
      <c r="D2" s="113"/>
      <c r="H2" s="160" t="s">
        <v>51</v>
      </c>
      <c r="I2" s="160"/>
    </row>
    <row r="3" spans="1:9" s="39" customFormat="1" ht="20.100000000000001" customHeight="1">
      <c r="A3" s="176" t="s">
        <v>37</v>
      </c>
      <c r="B3" s="177"/>
      <c r="C3" s="180" t="s">
        <v>31</v>
      </c>
      <c r="D3" s="181"/>
      <c r="E3" s="182" t="s">
        <v>133</v>
      </c>
      <c r="F3" s="169"/>
      <c r="G3" s="169"/>
      <c r="H3" s="170"/>
      <c r="I3" s="171" t="s">
        <v>84</v>
      </c>
    </row>
    <row r="4" spans="1:9" s="39" customFormat="1" ht="38.450000000000003" customHeight="1">
      <c r="A4" s="178"/>
      <c r="B4" s="179"/>
      <c r="C4" s="87" t="s">
        <v>38</v>
      </c>
      <c r="D4" s="82" t="s">
        <v>39</v>
      </c>
      <c r="E4" s="87" t="s">
        <v>134</v>
      </c>
      <c r="F4" s="158" t="s">
        <v>135</v>
      </c>
      <c r="G4" s="87" t="s">
        <v>136</v>
      </c>
      <c r="H4" s="87" t="s">
        <v>137</v>
      </c>
      <c r="I4" s="172"/>
    </row>
    <row r="5" spans="1:9" s="41" customFormat="1" ht="27.75" customHeight="1">
      <c r="A5" s="173" t="s">
        <v>77</v>
      </c>
      <c r="B5" s="174"/>
      <c r="C5" s="147">
        <f>C6+C24</f>
        <v>13998201</v>
      </c>
      <c r="D5" s="148">
        <f>D6+D24</f>
        <v>100</v>
      </c>
      <c r="E5" s="147">
        <f>E6+E24</f>
        <v>451220</v>
      </c>
      <c r="F5" s="147">
        <f t="shared" ref="F5:H5" si="0">F6+F24</f>
        <v>2235604</v>
      </c>
      <c r="G5" s="147">
        <f t="shared" si="0"/>
        <v>2686824</v>
      </c>
      <c r="H5" s="148">
        <f t="shared" si="0"/>
        <v>100</v>
      </c>
      <c r="I5" s="147">
        <f>I6+I24</f>
        <v>11311377</v>
      </c>
    </row>
    <row r="6" spans="1:9" s="41" customFormat="1" ht="30" customHeight="1">
      <c r="A6" s="149" t="s">
        <v>75</v>
      </c>
      <c r="B6" s="150" t="s">
        <v>155</v>
      </c>
      <c r="C6" s="147">
        <f>SUM(C7:C23)</f>
        <v>4374007</v>
      </c>
      <c r="D6" s="148">
        <f>C6/C5*100</f>
        <v>31.246922372381995</v>
      </c>
      <c r="E6" s="147">
        <f>SUM(E7:E23)</f>
        <v>141502</v>
      </c>
      <c r="F6" s="147">
        <f t="shared" ref="F6:I6" si="1">SUM(F7:F23)</f>
        <v>698486</v>
      </c>
      <c r="G6" s="147">
        <f t="shared" si="1"/>
        <v>839988</v>
      </c>
      <c r="H6" s="148">
        <f>G6/G5*100</f>
        <v>31.263231235093926</v>
      </c>
      <c r="I6" s="147">
        <f t="shared" si="1"/>
        <v>3534019</v>
      </c>
    </row>
    <row r="7" spans="1:9" s="41" customFormat="1" ht="25.5">
      <c r="A7" s="9">
        <v>1</v>
      </c>
      <c r="B7" s="11" t="s">
        <v>156</v>
      </c>
      <c r="C7" s="35">
        <f>SUM(G7,I7)</f>
        <v>2536247</v>
      </c>
      <c r="D7" s="151">
        <f>C7/$C$6*100</f>
        <v>57.98452082952771</v>
      </c>
      <c r="E7" s="35">
        <v>81602</v>
      </c>
      <c r="F7" s="35">
        <v>405077</v>
      </c>
      <c r="G7" s="35">
        <f>SUM(E7:F7)</f>
        <v>486679</v>
      </c>
      <c r="H7" s="151">
        <f>G7/$G$6*100</f>
        <v>57.938803887674581</v>
      </c>
      <c r="I7" s="35">
        <v>2049568</v>
      </c>
    </row>
    <row r="8" spans="1:9" s="41" customFormat="1" ht="25.5">
      <c r="A8" s="9">
        <v>2</v>
      </c>
      <c r="B8" s="11" t="s">
        <v>160</v>
      </c>
      <c r="C8" s="35">
        <f t="shared" ref="C8:C24" si="2">SUM(G8,I8)</f>
        <v>0</v>
      </c>
      <c r="D8" s="151">
        <f t="shared" ref="D8:D23" si="3">C8/$C$6*100</f>
        <v>0</v>
      </c>
      <c r="E8" s="35">
        <v>0</v>
      </c>
      <c r="F8" s="35">
        <v>0</v>
      </c>
      <c r="G8" s="35">
        <f t="shared" ref="G8:G23" si="4">SUM(E8:F8)</f>
        <v>0</v>
      </c>
      <c r="H8" s="151">
        <f t="shared" ref="H8:H23" si="5">G8/$G$6*100</f>
        <v>0</v>
      </c>
      <c r="I8" s="35">
        <v>0</v>
      </c>
    </row>
    <row r="9" spans="1:9" s="41" customFormat="1" ht="19.5" customHeight="1">
      <c r="A9" s="9">
        <v>3</v>
      </c>
      <c r="B9" s="10" t="s">
        <v>74</v>
      </c>
      <c r="C9" s="35">
        <f t="shared" si="2"/>
        <v>1429433</v>
      </c>
      <c r="D9" s="151">
        <f t="shared" si="3"/>
        <v>32.680171750982566</v>
      </c>
      <c r="E9" s="35">
        <v>46001</v>
      </c>
      <c r="F9" s="35">
        <v>228300</v>
      </c>
      <c r="G9" s="35">
        <f t="shared" si="4"/>
        <v>274301</v>
      </c>
      <c r="H9" s="151">
        <f t="shared" si="5"/>
        <v>32.655347457344632</v>
      </c>
      <c r="I9" s="35">
        <v>1155132</v>
      </c>
    </row>
    <row r="10" spans="1:9" s="41" customFormat="1" ht="19.5" customHeight="1">
      <c r="A10" s="9">
        <v>4</v>
      </c>
      <c r="B10" s="10" t="s">
        <v>43</v>
      </c>
      <c r="C10" s="35">
        <f t="shared" si="2"/>
        <v>0</v>
      </c>
      <c r="D10" s="151">
        <f t="shared" si="3"/>
        <v>0</v>
      </c>
      <c r="E10" s="35">
        <v>0</v>
      </c>
      <c r="F10" s="35">
        <v>0</v>
      </c>
      <c r="G10" s="35">
        <f t="shared" si="4"/>
        <v>0</v>
      </c>
      <c r="H10" s="151">
        <f t="shared" si="5"/>
        <v>0</v>
      </c>
      <c r="I10" s="35">
        <v>0</v>
      </c>
    </row>
    <row r="11" spans="1:9" s="41" customFormat="1" ht="19.5" customHeight="1">
      <c r="A11" s="9">
        <v>5</v>
      </c>
      <c r="B11" s="10" t="s">
        <v>46</v>
      </c>
      <c r="C11" s="35">
        <f t="shared" si="2"/>
        <v>38351</v>
      </c>
      <c r="D11" s="151">
        <f t="shared" si="3"/>
        <v>0.876793292740501</v>
      </c>
      <c r="E11" s="35">
        <v>1234</v>
      </c>
      <c r="F11" s="35">
        <v>6125</v>
      </c>
      <c r="G11" s="35">
        <f t="shared" si="4"/>
        <v>7359</v>
      </c>
      <c r="H11" s="151">
        <f t="shared" si="5"/>
        <v>0.8760839440563436</v>
      </c>
      <c r="I11" s="35">
        <v>30992</v>
      </c>
    </row>
    <row r="12" spans="1:9" s="41" customFormat="1" ht="19.5" customHeight="1">
      <c r="A12" s="9">
        <v>6</v>
      </c>
      <c r="B12" s="10" t="s">
        <v>54</v>
      </c>
      <c r="C12" s="35">
        <f t="shared" si="2"/>
        <v>28437</v>
      </c>
      <c r="D12" s="151">
        <f t="shared" si="3"/>
        <v>0.65013613375561585</v>
      </c>
      <c r="E12" s="35">
        <v>915</v>
      </c>
      <c r="F12" s="35">
        <v>4542</v>
      </c>
      <c r="G12" s="35">
        <f t="shared" si="4"/>
        <v>5457</v>
      </c>
      <c r="H12" s="151">
        <f t="shared" si="5"/>
        <v>0.64965213788768417</v>
      </c>
      <c r="I12" s="35">
        <v>22980</v>
      </c>
    </row>
    <row r="13" spans="1:9" s="41" customFormat="1" ht="19.5" customHeight="1">
      <c r="A13" s="9">
        <v>7</v>
      </c>
      <c r="B13" s="10" t="s">
        <v>45</v>
      </c>
      <c r="C13" s="35">
        <f t="shared" si="2"/>
        <v>0</v>
      </c>
      <c r="D13" s="151">
        <f t="shared" si="3"/>
        <v>0</v>
      </c>
      <c r="E13" s="35">
        <v>0</v>
      </c>
      <c r="F13" s="35">
        <v>0</v>
      </c>
      <c r="G13" s="35">
        <f t="shared" si="4"/>
        <v>0</v>
      </c>
      <c r="H13" s="151">
        <f t="shared" si="5"/>
        <v>0</v>
      </c>
      <c r="I13" s="35">
        <v>0</v>
      </c>
    </row>
    <row r="14" spans="1:9" s="41" customFormat="1" ht="19.5" customHeight="1">
      <c r="A14" s="9">
        <v>8</v>
      </c>
      <c r="B14" s="10" t="s">
        <v>42</v>
      </c>
      <c r="C14" s="35">
        <f t="shared" si="2"/>
        <v>9175</v>
      </c>
      <c r="D14" s="151">
        <f t="shared" si="3"/>
        <v>0.20976189567140613</v>
      </c>
      <c r="E14" s="35">
        <v>295</v>
      </c>
      <c r="F14" s="35">
        <v>1465</v>
      </c>
      <c r="G14" s="35">
        <f t="shared" si="4"/>
        <v>1760</v>
      </c>
      <c r="H14" s="151">
        <f t="shared" si="5"/>
        <v>0.209526802763849</v>
      </c>
      <c r="I14" s="35">
        <v>7415</v>
      </c>
    </row>
    <row r="15" spans="1:9" s="41" customFormat="1" ht="25.5">
      <c r="A15" s="9">
        <v>9</v>
      </c>
      <c r="B15" s="11" t="s">
        <v>158</v>
      </c>
      <c r="C15" s="35">
        <f t="shared" si="2"/>
        <v>785</v>
      </c>
      <c r="D15" s="152">
        <f t="shared" si="3"/>
        <v>1.7946930583330113E-2</v>
      </c>
      <c r="E15" s="35">
        <v>785</v>
      </c>
      <c r="F15" s="35">
        <v>0</v>
      </c>
      <c r="G15" s="35">
        <f t="shared" si="4"/>
        <v>785</v>
      </c>
      <c r="H15" s="151">
        <f t="shared" si="5"/>
        <v>9.3453716005466744E-2</v>
      </c>
      <c r="I15" s="35">
        <v>0</v>
      </c>
    </row>
    <row r="16" spans="1:9" s="41" customFormat="1" ht="19.5" customHeight="1">
      <c r="A16" s="9">
        <v>10</v>
      </c>
      <c r="B16" s="10" t="s">
        <v>41</v>
      </c>
      <c r="C16" s="35">
        <f t="shared" si="2"/>
        <v>22</v>
      </c>
      <c r="D16" s="153">
        <f t="shared" si="3"/>
        <v>5.0297130297230887E-4</v>
      </c>
      <c r="E16" s="35">
        <v>0</v>
      </c>
      <c r="F16" s="35">
        <v>22</v>
      </c>
      <c r="G16" s="35">
        <f t="shared" si="4"/>
        <v>22</v>
      </c>
      <c r="H16" s="151">
        <f t="shared" si="5"/>
        <v>2.6190850345481128E-3</v>
      </c>
      <c r="I16" s="35">
        <v>0</v>
      </c>
    </row>
    <row r="17" spans="1:9" s="41" customFormat="1" ht="19.5" customHeight="1">
      <c r="A17" s="9">
        <v>11</v>
      </c>
      <c r="B17" s="10" t="s">
        <v>47</v>
      </c>
      <c r="C17" s="35">
        <f t="shared" si="2"/>
        <v>259607</v>
      </c>
      <c r="D17" s="151">
        <f t="shared" si="3"/>
        <v>5.9352214113969186</v>
      </c>
      <c r="E17" s="35">
        <v>8354</v>
      </c>
      <c r="F17" s="35">
        <v>41463</v>
      </c>
      <c r="G17" s="35">
        <f t="shared" si="4"/>
        <v>49817</v>
      </c>
      <c r="H17" s="151">
        <f t="shared" si="5"/>
        <v>5.9306799620946968</v>
      </c>
      <c r="I17" s="35">
        <v>209790</v>
      </c>
    </row>
    <row r="18" spans="1:9" s="41" customFormat="1" ht="26.25" customHeight="1">
      <c r="A18" s="9">
        <v>12</v>
      </c>
      <c r="B18" s="11" t="s">
        <v>162</v>
      </c>
      <c r="C18" s="35">
        <f t="shared" si="2"/>
        <v>1322</v>
      </c>
      <c r="D18" s="151">
        <f t="shared" si="3"/>
        <v>3.0224002842245107E-2</v>
      </c>
      <c r="E18" s="35">
        <v>43</v>
      </c>
      <c r="F18" s="35">
        <v>211</v>
      </c>
      <c r="G18" s="35">
        <f t="shared" si="4"/>
        <v>254</v>
      </c>
      <c r="H18" s="151">
        <f t="shared" si="5"/>
        <v>3.0238527217055482E-2</v>
      </c>
      <c r="I18" s="35">
        <v>1068</v>
      </c>
    </row>
    <row r="19" spans="1:9" s="41" customFormat="1" ht="19.5" customHeight="1">
      <c r="A19" s="9">
        <v>13</v>
      </c>
      <c r="B19" s="10" t="s">
        <v>49</v>
      </c>
      <c r="C19" s="35">
        <f t="shared" si="2"/>
        <v>6</v>
      </c>
      <c r="D19" s="151">
        <f t="shared" si="3"/>
        <v>1.3717399171972062E-4</v>
      </c>
      <c r="E19" s="35">
        <v>0</v>
      </c>
      <c r="F19" s="35">
        <v>1</v>
      </c>
      <c r="G19" s="35">
        <f t="shared" si="4"/>
        <v>1</v>
      </c>
      <c r="H19" s="151">
        <f t="shared" si="5"/>
        <v>1.1904931975218693E-4</v>
      </c>
      <c r="I19" s="35">
        <v>5</v>
      </c>
    </row>
    <row r="20" spans="1:9" s="41" customFormat="1" ht="19.5" customHeight="1">
      <c r="A20" s="9">
        <v>14</v>
      </c>
      <c r="B20" s="10" t="s">
        <v>40</v>
      </c>
      <c r="C20" s="35">
        <f t="shared" si="2"/>
        <v>0</v>
      </c>
      <c r="D20" s="151">
        <f t="shared" si="3"/>
        <v>0</v>
      </c>
      <c r="E20" s="35">
        <v>0</v>
      </c>
      <c r="F20" s="35">
        <v>0</v>
      </c>
      <c r="G20" s="35">
        <f t="shared" si="4"/>
        <v>0</v>
      </c>
      <c r="H20" s="151">
        <f t="shared" si="5"/>
        <v>0</v>
      </c>
      <c r="I20" s="35">
        <v>0</v>
      </c>
    </row>
    <row r="21" spans="1:9" s="41" customFormat="1" ht="25.5">
      <c r="A21" s="9">
        <v>15</v>
      </c>
      <c r="B21" s="11" t="s">
        <v>161</v>
      </c>
      <c r="C21" s="35">
        <f t="shared" si="2"/>
        <v>66843</v>
      </c>
      <c r="D21" s="151">
        <f t="shared" si="3"/>
        <v>1.5281868547535473</v>
      </c>
      <c r="E21" s="35">
        <v>2151</v>
      </c>
      <c r="F21" s="35">
        <v>10676</v>
      </c>
      <c r="G21" s="35">
        <f t="shared" si="4"/>
        <v>12827</v>
      </c>
      <c r="H21" s="151">
        <f t="shared" si="5"/>
        <v>1.527045624461302</v>
      </c>
      <c r="I21" s="35">
        <v>54016</v>
      </c>
    </row>
    <row r="22" spans="1:9" s="41" customFormat="1" ht="38.25">
      <c r="A22" s="9">
        <v>16</v>
      </c>
      <c r="B22" s="11" t="s">
        <v>78</v>
      </c>
      <c r="C22" s="35">
        <f t="shared" si="2"/>
        <v>3779</v>
      </c>
      <c r="D22" s="151">
        <f t="shared" si="3"/>
        <v>8.6396752451470701E-2</v>
      </c>
      <c r="E22" s="35">
        <v>122</v>
      </c>
      <c r="F22" s="35">
        <v>604</v>
      </c>
      <c r="G22" s="35">
        <f t="shared" si="4"/>
        <v>726</v>
      </c>
      <c r="H22" s="151">
        <f t="shared" si="5"/>
        <v>8.6429806140087717E-2</v>
      </c>
      <c r="I22" s="35">
        <v>3053</v>
      </c>
    </row>
    <row r="23" spans="1:9" s="41" customFormat="1" ht="19.5" customHeight="1">
      <c r="A23" s="9">
        <v>17</v>
      </c>
      <c r="B23" s="10" t="s">
        <v>44</v>
      </c>
      <c r="C23" s="35">
        <f t="shared" si="2"/>
        <v>0</v>
      </c>
      <c r="D23" s="151">
        <f t="shared" si="3"/>
        <v>0</v>
      </c>
      <c r="E23" s="35">
        <v>0</v>
      </c>
      <c r="F23" s="35">
        <v>0</v>
      </c>
      <c r="G23" s="35">
        <f t="shared" si="4"/>
        <v>0</v>
      </c>
      <c r="H23" s="151">
        <f t="shared" si="5"/>
        <v>0</v>
      </c>
      <c r="I23" s="35">
        <v>0</v>
      </c>
    </row>
    <row r="24" spans="1:9" s="41" customFormat="1" ht="28.5" customHeight="1">
      <c r="A24" s="149" t="s">
        <v>76</v>
      </c>
      <c r="B24" s="150" t="s">
        <v>157</v>
      </c>
      <c r="C24" s="147">
        <f t="shared" si="2"/>
        <v>9624194</v>
      </c>
      <c r="D24" s="148">
        <f>C24/C5*100</f>
        <v>68.753077627618012</v>
      </c>
      <c r="E24" s="147">
        <v>309718</v>
      </c>
      <c r="F24" s="147">
        <v>1537118</v>
      </c>
      <c r="G24" s="147">
        <v>1846836</v>
      </c>
      <c r="H24" s="148">
        <f>G24/G5*100</f>
        <v>68.736768764906074</v>
      </c>
      <c r="I24" s="147">
        <v>7777358</v>
      </c>
    </row>
    <row r="25" spans="1:9" s="41" customFormat="1" ht="12.95" customHeight="1">
      <c r="A25" s="154"/>
      <c r="B25" s="155"/>
      <c r="C25" s="156"/>
      <c r="D25" s="157"/>
      <c r="E25" s="156"/>
      <c r="F25" s="156"/>
      <c r="G25" s="156"/>
      <c r="H25" s="157"/>
      <c r="I25" s="156"/>
    </row>
    <row r="26" spans="1:9" s="12" customFormat="1" ht="12">
      <c r="A26" s="12" t="s">
        <v>88</v>
      </c>
      <c r="E26" s="28"/>
      <c r="F26" s="28"/>
      <c r="G26" s="28"/>
      <c r="H26" s="29"/>
      <c r="I26" s="13" t="s">
        <v>90</v>
      </c>
    </row>
    <row r="27" spans="1:9" s="12" customFormat="1" ht="12">
      <c r="A27" s="12" t="s">
        <v>159</v>
      </c>
      <c r="E27" s="28"/>
      <c r="F27" s="28"/>
      <c r="G27" s="28"/>
      <c r="H27" s="29"/>
      <c r="I27" s="28"/>
    </row>
    <row r="28" spans="1:9" s="12" customFormat="1" ht="12"/>
    <row r="32" spans="1:9" s="12" customFormat="1" ht="12.95" customHeight="1"/>
    <row r="33" s="12" customFormat="1" ht="12.95" customHeight="1"/>
  </sheetData>
  <mergeCells count="8">
    <mergeCell ref="A5:B5"/>
    <mergeCell ref="A1:I1"/>
    <mergeCell ref="A2:B2"/>
    <mergeCell ref="H2:I2"/>
    <mergeCell ref="A3:B4"/>
    <mergeCell ref="C3:D3"/>
    <mergeCell ref="E3:H3"/>
    <mergeCell ref="I3:I4"/>
  </mergeCells>
  <printOptions horizontalCentered="1"/>
  <pageMargins left="0.75" right="0.75" top="1" bottom="1" header="0.5" footer="0.5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60"/>
  <sheetViews>
    <sheetView view="pageBreakPreview" zoomScaleSheetLayoutView="100" workbookViewId="0">
      <selection activeCell="A2" sqref="A2"/>
    </sheetView>
  </sheetViews>
  <sheetFormatPr defaultColWidth="9.140625" defaultRowHeight="12.75"/>
  <cols>
    <col min="1" max="1" width="13.5703125" style="41" customWidth="1"/>
    <col min="2" max="2" width="9.28515625" style="41" customWidth="1"/>
    <col min="3" max="4" width="12.28515625" style="41" customWidth="1"/>
    <col min="5" max="6" width="10.140625" style="41" customWidth="1"/>
    <col min="7" max="7" width="11.7109375" style="41" customWidth="1"/>
    <col min="8" max="8" width="11" style="41" hidden="1" customWidth="1"/>
    <col min="9" max="16384" width="9.140625" style="41"/>
  </cols>
  <sheetData>
    <row r="1" spans="1:8" s="19" customFormat="1" ht="60" customHeight="1">
      <c r="A1" s="159" t="s">
        <v>105</v>
      </c>
      <c r="B1" s="159"/>
      <c r="C1" s="159"/>
      <c r="D1" s="159"/>
      <c r="E1" s="159"/>
      <c r="F1" s="159"/>
      <c r="G1" s="159"/>
    </row>
    <row r="2" spans="1:8" s="25" customFormat="1" ht="12.95" customHeight="1">
      <c r="A2" s="23" t="s">
        <v>164</v>
      </c>
      <c r="B2" s="21"/>
      <c r="C2" s="21"/>
      <c r="D2" s="21"/>
      <c r="E2" s="12"/>
      <c r="F2" s="12"/>
      <c r="G2" s="24" t="s">
        <v>51</v>
      </c>
      <c r="H2" s="23"/>
    </row>
    <row r="3" spans="1:8" ht="38.25">
      <c r="A3" s="102" t="s">
        <v>28</v>
      </c>
      <c r="B3" s="102" t="s">
        <v>22</v>
      </c>
      <c r="C3" s="102" t="s">
        <v>23</v>
      </c>
      <c r="D3" s="102" t="s">
        <v>139</v>
      </c>
      <c r="E3" s="102" t="s">
        <v>24</v>
      </c>
      <c r="F3" s="102" t="s">
        <v>25</v>
      </c>
      <c r="G3" s="102" t="s">
        <v>140</v>
      </c>
      <c r="H3" s="42"/>
    </row>
    <row r="4" spans="1:8" ht="26.1" customHeight="1">
      <c r="A4" s="118" t="s">
        <v>57</v>
      </c>
      <c r="B4" s="119">
        <f>SUM(B5:B36)</f>
        <v>21565</v>
      </c>
      <c r="C4" s="119">
        <f>SUM(C5:C36)</f>
        <v>12</v>
      </c>
      <c r="D4" s="119">
        <f>SUM(D5:D36)</f>
        <v>21577</v>
      </c>
      <c r="E4" s="119">
        <f>SUM(E5:E36)</f>
        <v>52</v>
      </c>
      <c r="F4" s="119">
        <f>SUM(F5:F36)</f>
        <v>1582</v>
      </c>
      <c r="G4" s="119">
        <f t="shared" ref="G4:G35" si="0">H4/D4</f>
        <v>1768.9297400009268</v>
      </c>
      <c r="H4" s="116">
        <v>38168197</v>
      </c>
    </row>
    <row r="5" spans="1:8" ht="17.45" customHeight="1">
      <c r="A5" s="98" t="s">
        <v>8</v>
      </c>
      <c r="B5" s="85">
        <v>1356</v>
      </c>
      <c r="C5" s="85">
        <v>0</v>
      </c>
      <c r="D5" s="85">
        <f>SUM(B5:C5)</f>
        <v>1356</v>
      </c>
      <c r="E5" s="85">
        <v>0</v>
      </c>
      <c r="F5" s="85">
        <v>92</v>
      </c>
      <c r="G5" s="85">
        <f t="shared" si="0"/>
        <v>1043.0022123893805</v>
      </c>
      <c r="H5" s="117">
        <v>1414311</v>
      </c>
    </row>
    <row r="6" spans="1:8" ht="17.45" customHeight="1">
      <c r="A6" s="99" t="s">
        <v>91</v>
      </c>
      <c r="B6" s="120">
        <v>543</v>
      </c>
      <c r="C6" s="85">
        <v>0</v>
      </c>
      <c r="D6" s="85">
        <f t="shared" ref="D6:D36" si="1">SUM(B6:C6)</f>
        <v>543</v>
      </c>
      <c r="E6" s="85">
        <v>0</v>
      </c>
      <c r="F6" s="85">
        <v>32</v>
      </c>
      <c r="G6" s="85">
        <f t="shared" si="0"/>
        <v>2182.4935543278084</v>
      </c>
      <c r="H6" s="117">
        <v>1185094</v>
      </c>
    </row>
    <row r="7" spans="1:8" ht="17.45" customHeight="1">
      <c r="A7" s="98" t="s">
        <v>13</v>
      </c>
      <c r="B7" s="85">
        <v>886</v>
      </c>
      <c r="C7" s="85">
        <v>0</v>
      </c>
      <c r="D7" s="85">
        <f t="shared" si="1"/>
        <v>886</v>
      </c>
      <c r="E7" s="85">
        <v>0</v>
      </c>
      <c r="F7" s="85">
        <v>36</v>
      </c>
      <c r="G7" s="85">
        <f t="shared" si="0"/>
        <v>1473.5428893905191</v>
      </c>
      <c r="H7" s="117">
        <v>1305559</v>
      </c>
    </row>
    <row r="8" spans="1:8" ht="17.45" customHeight="1">
      <c r="A8" s="98" t="s">
        <v>11</v>
      </c>
      <c r="B8" s="85">
        <v>174</v>
      </c>
      <c r="C8" s="85">
        <v>0</v>
      </c>
      <c r="D8" s="85">
        <f t="shared" si="1"/>
        <v>174</v>
      </c>
      <c r="E8" s="85">
        <v>0</v>
      </c>
      <c r="F8" s="85">
        <v>16</v>
      </c>
      <c r="G8" s="85">
        <f t="shared" si="0"/>
        <v>2916.9367816091954</v>
      </c>
      <c r="H8" s="117">
        <v>507547</v>
      </c>
    </row>
    <row r="9" spans="1:8" ht="17.45" customHeight="1">
      <c r="A9" s="98" t="s">
        <v>20</v>
      </c>
      <c r="B9" s="85">
        <v>313</v>
      </c>
      <c r="C9" s="85">
        <v>0</v>
      </c>
      <c r="D9" s="85">
        <f t="shared" si="1"/>
        <v>313</v>
      </c>
      <c r="E9" s="85">
        <v>0</v>
      </c>
      <c r="F9" s="85">
        <v>40</v>
      </c>
      <c r="G9" s="85">
        <f t="shared" si="0"/>
        <v>3092.8051118210865</v>
      </c>
      <c r="H9" s="117">
        <v>968048</v>
      </c>
    </row>
    <row r="10" spans="1:8" ht="17.45" customHeight="1">
      <c r="A10" s="98" t="s">
        <v>2</v>
      </c>
      <c r="B10" s="85">
        <v>640</v>
      </c>
      <c r="C10" s="85">
        <v>0</v>
      </c>
      <c r="D10" s="85">
        <f t="shared" si="1"/>
        <v>640</v>
      </c>
      <c r="E10" s="85">
        <v>0</v>
      </c>
      <c r="F10" s="85">
        <v>42</v>
      </c>
      <c r="G10" s="85">
        <f t="shared" si="0"/>
        <v>2686.1390624999999</v>
      </c>
      <c r="H10" s="117">
        <v>1719129</v>
      </c>
    </row>
    <row r="11" spans="1:8" ht="17.45" customHeight="1">
      <c r="A11" s="98" t="s">
        <v>17</v>
      </c>
      <c r="B11" s="85">
        <v>320</v>
      </c>
      <c r="C11" s="85">
        <v>0</v>
      </c>
      <c r="D11" s="85">
        <f t="shared" si="1"/>
        <v>320</v>
      </c>
      <c r="E11" s="85">
        <v>0</v>
      </c>
      <c r="F11" s="85">
        <v>80</v>
      </c>
      <c r="G11" s="85">
        <f t="shared" si="0"/>
        <v>1465.3125</v>
      </c>
      <c r="H11" s="117">
        <v>468900</v>
      </c>
    </row>
    <row r="12" spans="1:8" ht="17.45" customHeight="1">
      <c r="A12" s="98" t="s">
        <v>69</v>
      </c>
      <c r="B12" s="85">
        <v>705</v>
      </c>
      <c r="C12" s="85">
        <v>0</v>
      </c>
      <c r="D12" s="85">
        <f t="shared" si="1"/>
        <v>705</v>
      </c>
      <c r="E12" s="85">
        <v>0</v>
      </c>
      <c r="F12" s="85">
        <v>72</v>
      </c>
      <c r="G12" s="85">
        <f t="shared" si="0"/>
        <v>2631.9872340425532</v>
      </c>
      <c r="H12" s="117">
        <v>1855551</v>
      </c>
    </row>
    <row r="13" spans="1:8" ht="17.45" customHeight="1">
      <c r="A13" s="98" t="s">
        <v>70</v>
      </c>
      <c r="B13" s="85">
        <v>762</v>
      </c>
      <c r="C13" s="85">
        <v>0</v>
      </c>
      <c r="D13" s="85">
        <f t="shared" si="1"/>
        <v>762</v>
      </c>
      <c r="E13" s="85">
        <v>0</v>
      </c>
      <c r="F13" s="85">
        <v>84</v>
      </c>
      <c r="G13" s="85">
        <f t="shared" si="0"/>
        <v>2049.251968503937</v>
      </c>
      <c r="H13" s="117">
        <v>1561530</v>
      </c>
    </row>
    <row r="14" spans="1:8" ht="17.45" customHeight="1">
      <c r="A14" s="98" t="s">
        <v>71</v>
      </c>
      <c r="B14" s="85">
        <v>488</v>
      </c>
      <c r="C14" s="85">
        <v>0</v>
      </c>
      <c r="D14" s="85">
        <f t="shared" si="1"/>
        <v>488</v>
      </c>
      <c r="E14" s="85">
        <v>0</v>
      </c>
      <c r="F14" s="85">
        <v>80</v>
      </c>
      <c r="G14" s="85">
        <f t="shared" si="0"/>
        <v>2110.4528688524592</v>
      </c>
      <c r="H14" s="117">
        <v>1029901</v>
      </c>
    </row>
    <row r="15" spans="1:8" ht="17.45" customHeight="1">
      <c r="A15" s="98" t="s">
        <v>6</v>
      </c>
      <c r="B15" s="85">
        <v>248</v>
      </c>
      <c r="C15" s="85">
        <v>0</v>
      </c>
      <c r="D15" s="85">
        <f t="shared" si="1"/>
        <v>248</v>
      </c>
      <c r="E15" s="85">
        <v>0</v>
      </c>
      <c r="F15" s="85">
        <v>10</v>
      </c>
      <c r="G15" s="85">
        <f t="shared" si="0"/>
        <v>2246.6935483870966</v>
      </c>
      <c r="H15" s="117">
        <v>557180</v>
      </c>
    </row>
    <row r="16" spans="1:8" ht="17.45" customHeight="1">
      <c r="A16" s="98" t="s">
        <v>9</v>
      </c>
      <c r="B16" s="85">
        <v>806</v>
      </c>
      <c r="C16" s="85">
        <v>0</v>
      </c>
      <c r="D16" s="85">
        <f t="shared" si="1"/>
        <v>806</v>
      </c>
      <c r="E16" s="85">
        <v>0</v>
      </c>
      <c r="F16" s="85">
        <v>54</v>
      </c>
      <c r="G16" s="85">
        <f t="shared" si="0"/>
        <v>1309.8846153846155</v>
      </c>
      <c r="H16" s="117">
        <v>1055767</v>
      </c>
    </row>
    <row r="17" spans="1:8" ht="17.45" customHeight="1">
      <c r="A17" s="98" t="s">
        <v>7</v>
      </c>
      <c r="B17" s="85">
        <v>590</v>
      </c>
      <c r="C17" s="85">
        <v>0</v>
      </c>
      <c r="D17" s="85">
        <f t="shared" si="1"/>
        <v>590</v>
      </c>
      <c r="E17" s="85">
        <v>0</v>
      </c>
      <c r="F17" s="85">
        <v>32</v>
      </c>
      <c r="G17" s="85">
        <f t="shared" si="0"/>
        <v>1278.7745762711863</v>
      </c>
      <c r="H17" s="117">
        <v>754477</v>
      </c>
    </row>
    <row r="18" spans="1:8" ht="17.45" customHeight="1">
      <c r="A18" s="99" t="s">
        <v>92</v>
      </c>
      <c r="B18" s="120">
        <v>460</v>
      </c>
      <c r="C18" s="85">
        <v>0</v>
      </c>
      <c r="D18" s="85">
        <f t="shared" si="1"/>
        <v>460</v>
      </c>
      <c r="E18" s="85">
        <v>0</v>
      </c>
      <c r="F18" s="85">
        <v>0</v>
      </c>
      <c r="G18" s="85">
        <f t="shared" si="0"/>
        <v>2318.9586956521739</v>
      </c>
      <c r="H18" s="117">
        <v>1066721</v>
      </c>
    </row>
    <row r="19" spans="1:8" ht="17.45" customHeight="1">
      <c r="A19" s="98" t="s">
        <v>5</v>
      </c>
      <c r="B19" s="85">
        <v>520</v>
      </c>
      <c r="C19" s="85">
        <v>0</v>
      </c>
      <c r="D19" s="85">
        <f t="shared" si="1"/>
        <v>520</v>
      </c>
      <c r="E19" s="85">
        <v>0</v>
      </c>
      <c r="F19" s="85">
        <v>88</v>
      </c>
      <c r="G19" s="85">
        <f t="shared" si="0"/>
        <v>2300.6326923076922</v>
      </c>
      <c r="H19" s="117">
        <v>1196329</v>
      </c>
    </row>
    <row r="20" spans="1:8" ht="17.45" customHeight="1">
      <c r="A20" s="98" t="s">
        <v>12</v>
      </c>
      <c r="B20" s="85">
        <v>0</v>
      </c>
      <c r="C20" s="85">
        <v>0</v>
      </c>
      <c r="D20" s="85">
        <f t="shared" si="1"/>
        <v>0</v>
      </c>
      <c r="E20" s="85">
        <v>0</v>
      </c>
      <c r="F20" s="85">
        <v>32</v>
      </c>
      <c r="G20" s="85">
        <v>0</v>
      </c>
      <c r="H20" s="117">
        <v>841055</v>
      </c>
    </row>
    <row r="21" spans="1:8" ht="17.45" customHeight="1">
      <c r="A21" s="99" t="s">
        <v>93</v>
      </c>
      <c r="B21" s="120">
        <v>552</v>
      </c>
      <c r="C21" s="85">
        <v>0</v>
      </c>
      <c r="D21" s="85">
        <f t="shared" si="1"/>
        <v>552</v>
      </c>
      <c r="E21" s="85">
        <v>0</v>
      </c>
      <c r="F21" s="85">
        <v>0</v>
      </c>
      <c r="G21" s="85">
        <f t="shared" si="0"/>
        <v>1164.2083333333333</v>
      </c>
      <c r="H21" s="117">
        <v>642643</v>
      </c>
    </row>
    <row r="22" spans="1:8" ht="17.45" customHeight="1">
      <c r="A22" s="98" t="s">
        <v>72</v>
      </c>
      <c r="B22" s="85">
        <v>466</v>
      </c>
      <c r="C22" s="85">
        <v>0</v>
      </c>
      <c r="D22" s="85">
        <f t="shared" si="1"/>
        <v>466</v>
      </c>
      <c r="E22" s="85">
        <v>0</v>
      </c>
      <c r="F22" s="85">
        <v>56</v>
      </c>
      <c r="G22" s="85">
        <f t="shared" si="0"/>
        <v>2109.783261802575</v>
      </c>
      <c r="H22" s="117">
        <v>983159</v>
      </c>
    </row>
    <row r="23" spans="1:8" ht="17.45" customHeight="1">
      <c r="A23" s="98" t="s">
        <v>21</v>
      </c>
      <c r="B23" s="85">
        <v>460</v>
      </c>
      <c r="C23" s="85">
        <v>0</v>
      </c>
      <c r="D23" s="85">
        <f t="shared" si="1"/>
        <v>460</v>
      </c>
      <c r="E23" s="85">
        <v>0</v>
      </c>
      <c r="F23" s="85">
        <v>50</v>
      </c>
      <c r="G23" s="85">
        <f t="shared" si="0"/>
        <v>1662.3391304347826</v>
      </c>
      <c r="H23" s="117">
        <v>764676</v>
      </c>
    </row>
    <row r="24" spans="1:8" ht="17.45" customHeight="1">
      <c r="A24" s="98" t="s">
        <v>10</v>
      </c>
      <c r="B24" s="85">
        <v>748</v>
      </c>
      <c r="C24" s="85">
        <v>0</v>
      </c>
      <c r="D24" s="85">
        <f t="shared" si="1"/>
        <v>748</v>
      </c>
      <c r="E24" s="85">
        <v>0</v>
      </c>
      <c r="F24" s="85">
        <v>194</v>
      </c>
      <c r="G24" s="85">
        <f t="shared" si="0"/>
        <v>2222.4692513368982</v>
      </c>
      <c r="H24" s="117">
        <v>1662407</v>
      </c>
    </row>
    <row r="25" spans="1:8" ht="17.45" customHeight="1">
      <c r="A25" s="98" t="s">
        <v>3</v>
      </c>
      <c r="B25" s="85">
        <v>772</v>
      </c>
      <c r="C25" s="85">
        <v>0</v>
      </c>
      <c r="D25" s="85">
        <f t="shared" si="1"/>
        <v>772</v>
      </c>
      <c r="E25" s="85">
        <v>0</v>
      </c>
      <c r="F25" s="85">
        <v>74</v>
      </c>
      <c r="G25" s="85">
        <f t="shared" si="0"/>
        <v>3295.6023316062178</v>
      </c>
      <c r="H25" s="117">
        <v>2544205</v>
      </c>
    </row>
    <row r="26" spans="1:8" ht="17.45" customHeight="1">
      <c r="A26" s="99" t="s">
        <v>94</v>
      </c>
      <c r="B26" s="120">
        <v>158</v>
      </c>
      <c r="C26" s="85">
        <v>0</v>
      </c>
      <c r="D26" s="85">
        <f t="shared" si="1"/>
        <v>158</v>
      </c>
      <c r="E26" s="85">
        <v>0</v>
      </c>
      <c r="F26" s="85">
        <v>24</v>
      </c>
      <c r="G26" s="85">
        <f t="shared" si="0"/>
        <v>3148.8924050632913</v>
      </c>
      <c r="H26" s="117">
        <v>497525</v>
      </c>
    </row>
    <row r="27" spans="1:8" ht="17.45" customHeight="1">
      <c r="A27" s="99" t="s">
        <v>96</v>
      </c>
      <c r="B27" s="120">
        <v>360</v>
      </c>
      <c r="C27" s="85">
        <v>0</v>
      </c>
      <c r="D27" s="85">
        <f t="shared" si="1"/>
        <v>360</v>
      </c>
      <c r="E27" s="85">
        <v>0</v>
      </c>
      <c r="F27" s="85">
        <v>8</v>
      </c>
      <c r="G27" s="85">
        <f t="shared" si="0"/>
        <v>1586.588888888889</v>
      </c>
      <c r="H27" s="117">
        <v>571172</v>
      </c>
    </row>
    <row r="28" spans="1:8" ht="17.45" customHeight="1">
      <c r="A28" s="98" t="s">
        <v>1</v>
      </c>
      <c r="B28" s="85">
        <v>1024</v>
      </c>
      <c r="C28" s="85">
        <v>12</v>
      </c>
      <c r="D28" s="85">
        <f t="shared" si="1"/>
        <v>1036</v>
      </c>
      <c r="E28" s="85">
        <v>0</v>
      </c>
      <c r="F28" s="85">
        <v>70</v>
      </c>
      <c r="G28" s="85">
        <f t="shared" si="0"/>
        <v>1588.8542471042472</v>
      </c>
      <c r="H28" s="117">
        <v>1646053</v>
      </c>
    </row>
    <row r="29" spans="1:8" ht="17.45" customHeight="1">
      <c r="A29" s="99" t="s">
        <v>95</v>
      </c>
      <c r="B29" s="85">
        <v>270</v>
      </c>
      <c r="C29" s="85">
        <v>0</v>
      </c>
      <c r="D29" s="85">
        <f t="shared" si="1"/>
        <v>270</v>
      </c>
      <c r="E29" s="85">
        <v>0</v>
      </c>
      <c r="F29" s="85">
        <v>8</v>
      </c>
      <c r="G29" s="85">
        <f t="shared" si="0"/>
        <v>958.07777777777778</v>
      </c>
      <c r="H29" s="117">
        <v>258681</v>
      </c>
    </row>
    <row r="30" spans="1:8" s="25" customFormat="1" ht="17.45" customHeight="1">
      <c r="A30" s="98" t="s">
        <v>0</v>
      </c>
      <c r="B30" s="85">
        <v>5292</v>
      </c>
      <c r="C30" s="85">
        <v>0</v>
      </c>
      <c r="D30" s="85">
        <f t="shared" si="1"/>
        <v>5292</v>
      </c>
      <c r="E30" s="85">
        <v>52</v>
      </c>
      <c r="F30" s="85">
        <v>38</v>
      </c>
      <c r="G30" s="85">
        <f t="shared" si="0"/>
        <v>909.36375661375666</v>
      </c>
      <c r="H30" s="117">
        <v>4812353</v>
      </c>
    </row>
    <row r="31" spans="1:8" ht="17.45" customHeight="1">
      <c r="A31" s="98" t="s">
        <v>19</v>
      </c>
      <c r="B31" s="85">
        <v>430</v>
      </c>
      <c r="C31" s="85">
        <v>0</v>
      </c>
      <c r="D31" s="85">
        <f t="shared" si="1"/>
        <v>430</v>
      </c>
      <c r="E31" s="85">
        <v>0</v>
      </c>
      <c r="F31" s="85">
        <v>12</v>
      </c>
      <c r="G31" s="85">
        <f>H31/D31</f>
        <v>1906.8395348837209</v>
      </c>
      <c r="H31" s="117">
        <v>819941</v>
      </c>
    </row>
    <row r="32" spans="1:8" s="25" customFormat="1" ht="17.45" customHeight="1">
      <c r="A32" s="99" t="s">
        <v>97</v>
      </c>
      <c r="B32" s="120">
        <v>507</v>
      </c>
      <c r="C32" s="85">
        <v>0</v>
      </c>
      <c r="D32" s="85">
        <f t="shared" si="1"/>
        <v>507</v>
      </c>
      <c r="E32" s="85">
        <v>0</v>
      </c>
      <c r="F32" s="85">
        <v>0</v>
      </c>
      <c r="G32" s="85">
        <f t="shared" si="0"/>
        <v>1416.5838264299803</v>
      </c>
      <c r="H32" s="117">
        <v>718208</v>
      </c>
    </row>
    <row r="33" spans="1:8" ht="17.45" customHeight="1">
      <c r="A33" s="98" t="s">
        <v>4</v>
      </c>
      <c r="B33" s="85">
        <v>670</v>
      </c>
      <c r="C33" s="85">
        <v>0</v>
      </c>
      <c r="D33" s="85">
        <f t="shared" si="1"/>
        <v>670</v>
      </c>
      <c r="E33" s="85">
        <v>0</v>
      </c>
      <c r="F33" s="85">
        <v>160</v>
      </c>
      <c r="G33" s="85">
        <f t="shared" si="0"/>
        <v>2590.3611940298506</v>
      </c>
      <c r="H33" s="117">
        <v>1735542</v>
      </c>
    </row>
    <row r="34" spans="1:8" ht="17.45" customHeight="1">
      <c r="A34" s="98" t="s">
        <v>18</v>
      </c>
      <c r="B34" s="85">
        <v>847</v>
      </c>
      <c r="C34" s="85">
        <v>0</v>
      </c>
      <c r="D34" s="85">
        <f t="shared" si="1"/>
        <v>847</v>
      </c>
      <c r="E34" s="85">
        <v>0</v>
      </c>
      <c r="F34" s="85">
        <v>44</v>
      </c>
      <c r="G34" s="85">
        <f t="shared" si="0"/>
        <v>2961.5053128689492</v>
      </c>
      <c r="H34" s="117">
        <v>2508395</v>
      </c>
    </row>
    <row r="35" spans="1:8" ht="17.45" customHeight="1">
      <c r="A35" s="98" t="s">
        <v>16</v>
      </c>
      <c r="B35" s="85">
        <v>198</v>
      </c>
      <c r="C35" s="85">
        <v>0</v>
      </c>
      <c r="D35" s="85">
        <f t="shared" si="1"/>
        <v>198</v>
      </c>
      <c r="E35" s="85">
        <v>0</v>
      </c>
      <c r="F35" s="85">
        <v>54</v>
      </c>
      <c r="G35" s="85">
        <f t="shared" si="0"/>
        <v>2302.1565656565658</v>
      </c>
      <c r="H35" s="117">
        <v>455827</v>
      </c>
    </row>
    <row r="36" spans="1:8" ht="17.45" customHeight="1">
      <c r="A36" s="98" t="s">
        <v>73</v>
      </c>
      <c r="B36" s="86">
        <v>0</v>
      </c>
      <c r="C36" s="85">
        <v>0</v>
      </c>
      <c r="D36" s="85">
        <f t="shared" si="1"/>
        <v>0</v>
      </c>
      <c r="E36" s="85">
        <v>0</v>
      </c>
      <c r="F36" s="86">
        <v>0</v>
      </c>
      <c r="G36" s="86">
        <v>0</v>
      </c>
      <c r="H36" s="117">
        <v>187620</v>
      </c>
    </row>
    <row r="37" spans="1:8" s="25" customFormat="1" ht="12.95" customHeight="1">
      <c r="A37" s="43"/>
      <c r="B37" s="24"/>
      <c r="C37" s="24"/>
      <c r="D37" s="24"/>
      <c r="E37" s="24"/>
      <c r="F37" s="24"/>
      <c r="G37" s="24"/>
      <c r="H37" s="23"/>
    </row>
    <row r="38" spans="1:8" s="25" customFormat="1" ht="12.95" customHeight="1">
      <c r="A38" s="23"/>
      <c r="B38" s="23"/>
      <c r="C38" s="23"/>
      <c r="D38" s="23"/>
      <c r="E38" s="23"/>
      <c r="F38" s="23"/>
      <c r="G38" s="13" t="s">
        <v>138</v>
      </c>
      <c r="H38" s="23"/>
    </row>
    <row r="39" spans="1:8" ht="18.399999999999999" customHeight="1"/>
    <row r="40" spans="1:8" ht="18.399999999999999" customHeight="1"/>
    <row r="41" spans="1:8" ht="18.399999999999999" customHeight="1"/>
    <row r="42" spans="1:8" ht="18.399999999999999" customHeight="1"/>
    <row r="43" spans="1:8" ht="18.399999999999999" customHeight="1"/>
    <row r="44" spans="1:8" ht="18.399999999999999" customHeight="1"/>
    <row r="45" spans="1:8" ht="18.399999999999999" customHeight="1"/>
    <row r="46" spans="1:8" ht="18.399999999999999" customHeight="1"/>
    <row r="47" spans="1:8" ht="18.399999999999999" customHeight="1"/>
    <row r="48" spans="1:8" ht="18.399999999999999" customHeight="1"/>
    <row r="49" ht="18.399999999999999" customHeight="1"/>
    <row r="50" ht="18.399999999999999" customHeight="1"/>
    <row r="51" ht="18.399999999999999" customHeight="1"/>
    <row r="52" ht="18.399999999999999" customHeight="1"/>
    <row r="53" ht="18.399999999999999" customHeight="1"/>
    <row r="54" ht="18.399999999999999" customHeight="1"/>
    <row r="55" ht="18.399999999999999" customHeight="1"/>
    <row r="56" ht="18.399999999999999" customHeight="1"/>
    <row r="57" ht="18.399999999999999" customHeight="1"/>
    <row r="58" ht="18.399999999999999" customHeight="1"/>
    <row r="59" ht="18.399999999999999" customHeight="1"/>
    <row r="60" ht="18.399999999999999" customHeight="1"/>
  </sheetData>
  <sortState ref="A5:H36">
    <sortCondition ref="A5:A36"/>
  </sortState>
  <mergeCells count="1">
    <mergeCell ref="A1:G1"/>
  </mergeCells>
  <phoneticPr fontId="0" type="noConversion"/>
  <printOptions horizontalCentered="1"/>
  <pageMargins left="0.75" right="0.75" top="1" bottom="1" header="0.5" footer="0.5"/>
  <pageSetup paperSize="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2"/>
  <sheetViews>
    <sheetView view="pageBreakPreview" zoomScaleSheetLayoutView="100" workbookViewId="0">
      <selection activeCell="S6" sqref="S6"/>
    </sheetView>
  </sheetViews>
  <sheetFormatPr defaultColWidth="9.140625" defaultRowHeight="12.75"/>
  <cols>
    <col min="1" max="1" width="12.28515625" style="39" customWidth="1"/>
    <col min="2" max="2" width="7.85546875" style="39" customWidth="1"/>
    <col min="3" max="3" width="8.7109375" style="39" customWidth="1"/>
    <col min="4" max="4" width="9.42578125" style="39" customWidth="1"/>
    <col min="5" max="5" width="7.28515625" style="39" customWidth="1"/>
    <col min="6" max="6" width="6.85546875" style="39" customWidth="1"/>
    <col min="7" max="7" width="5.7109375" style="39" customWidth="1"/>
    <col min="8" max="8" width="10" style="39" customWidth="1"/>
    <col min="9" max="10" width="8.28515625" style="39" customWidth="1"/>
    <col min="11" max="11" width="9.85546875" style="39" hidden="1" customWidth="1"/>
    <col min="12" max="14" width="0" style="39" hidden="1" customWidth="1"/>
    <col min="15" max="16384" width="9.140625" style="39"/>
  </cols>
  <sheetData>
    <row r="1" spans="1:13" s="16" customFormat="1" ht="60" customHeight="1">
      <c r="A1" s="159" t="s">
        <v>60</v>
      </c>
      <c r="B1" s="159"/>
      <c r="C1" s="159"/>
      <c r="D1" s="159"/>
      <c r="E1" s="159"/>
      <c r="F1" s="159"/>
      <c r="G1" s="159"/>
      <c r="H1" s="159"/>
      <c r="I1" s="159"/>
      <c r="J1" s="159"/>
      <c r="K1" s="18"/>
      <c r="L1" s="18"/>
    </row>
    <row r="2" spans="1:13" s="12" customFormat="1" ht="12.95" customHeight="1">
      <c r="A2" s="21" t="s">
        <v>98</v>
      </c>
      <c r="B2" s="21"/>
      <c r="C2" s="21"/>
      <c r="D2" s="21"/>
      <c r="E2" s="22" t="s">
        <v>106</v>
      </c>
      <c r="F2" s="21"/>
      <c r="G2" s="21"/>
      <c r="H2" s="21"/>
      <c r="I2" s="160" t="s">
        <v>51</v>
      </c>
      <c r="J2" s="160"/>
      <c r="K2" s="21"/>
      <c r="L2" s="21"/>
    </row>
    <row r="3" spans="1:13" ht="51.75" customHeight="1">
      <c r="A3" s="87" t="s">
        <v>28</v>
      </c>
      <c r="B3" s="87" t="s">
        <v>110</v>
      </c>
      <c r="C3" s="87" t="s">
        <v>142</v>
      </c>
      <c r="D3" s="87" t="s">
        <v>112</v>
      </c>
      <c r="E3" s="87" t="s">
        <v>113</v>
      </c>
      <c r="F3" s="87" t="s">
        <v>87</v>
      </c>
      <c r="G3" s="87" t="s">
        <v>114</v>
      </c>
      <c r="H3" s="88" t="s">
        <v>115</v>
      </c>
      <c r="I3" s="87" t="s">
        <v>52</v>
      </c>
      <c r="J3" s="82" t="s">
        <v>59</v>
      </c>
    </row>
    <row r="4" spans="1:13" ht="25.5" customHeight="1">
      <c r="A4" s="111" t="s">
        <v>56</v>
      </c>
      <c r="B4" s="89">
        <f t="shared" ref="B4:I4" si="0">SUM(B5:B36)</f>
        <v>6089</v>
      </c>
      <c r="C4" s="89">
        <f t="shared" si="0"/>
        <v>57</v>
      </c>
      <c r="D4" s="89">
        <f t="shared" si="0"/>
        <v>646</v>
      </c>
      <c r="E4" s="89">
        <f t="shared" si="0"/>
        <v>7061</v>
      </c>
      <c r="F4" s="89">
        <f t="shared" si="0"/>
        <v>0</v>
      </c>
      <c r="G4" s="89">
        <f t="shared" si="0"/>
        <v>2278</v>
      </c>
      <c r="H4" s="89">
        <f t="shared" si="0"/>
        <v>1924</v>
      </c>
      <c r="I4" s="89">
        <f t="shared" si="0"/>
        <v>11033</v>
      </c>
      <c r="J4" s="48">
        <f t="shared" ref="J4" si="1">K4/B4</f>
        <v>6268.3851207094758</v>
      </c>
      <c r="K4" s="109">
        <v>38168197</v>
      </c>
      <c r="M4" s="44">
        <v>28327198</v>
      </c>
    </row>
    <row r="5" spans="1:13" s="41" customFormat="1" ht="17.45" customHeight="1">
      <c r="A5" s="90" t="s">
        <v>8</v>
      </c>
      <c r="B5" s="81">
        <v>194</v>
      </c>
      <c r="C5" s="81">
        <v>3</v>
      </c>
      <c r="D5" s="81">
        <v>26</v>
      </c>
      <c r="E5" s="81">
        <v>222</v>
      </c>
      <c r="F5" s="81">
        <v>0</v>
      </c>
      <c r="G5" s="81">
        <v>97</v>
      </c>
      <c r="H5" s="81">
        <v>75</v>
      </c>
      <c r="I5" s="81">
        <v>385</v>
      </c>
      <c r="J5" s="45">
        <f>K5/B5</f>
        <v>7290.2628865979377</v>
      </c>
      <c r="K5" s="81">
        <v>1414311</v>
      </c>
      <c r="M5" s="49">
        <v>1193022</v>
      </c>
    </row>
    <row r="6" spans="1:13" s="41" customFormat="1" ht="17.45" customHeight="1">
      <c r="A6" s="90" t="s">
        <v>91</v>
      </c>
      <c r="B6" s="81">
        <v>210</v>
      </c>
      <c r="C6" s="81">
        <v>1</v>
      </c>
      <c r="D6" s="81">
        <v>5</v>
      </c>
      <c r="E6" s="81">
        <v>87</v>
      </c>
      <c r="F6" s="81">
        <v>0</v>
      </c>
      <c r="G6" s="81">
        <v>69</v>
      </c>
      <c r="H6" s="81">
        <v>38</v>
      </c>
      <c r="I6" s="81">
        <v>413</v>
      </c>
      <c r="J6" s="45">
        <f t="shared" ref="J6:J36" si="2">K6/B6</f>
        <v>5643.304761904762</v>
      </c>
      <c r="K6" s="81">
        <v>1185094</v>
      </c>
      <c r="L6" s="25"/>
      <c r="M6" s="46"/>
    </row>
    <row r="7" spans="1:13" s="41" customFormat="1" ht="17.45" customHeight="1">
      <c r="A7" s="90" t="s">
        <v>13</v>
      </c>
      <c r="B7" s="81">
        <f>105+12</f>
        <v>117</v>
      </c>
      <c r="C7" s="81">
        <v>2</v>
      </c>
      <c r="D7" s="81">
        <v>13</v>
      </c>
      <c r="E7" s="81">
        <v>335</v>
      </c>
      <c r="F7" s="81">
        <v>0</v>
      </c>
      <c r="G7" s="81">
        <f>92+78</f>
        <v>170</v>
      </c>
      <c r="H7" s="81">
        <f>76+26</f>
        <v>102</v>
      </c>
      <c r="I7" s="81">
        <f>411+112</f>
        <v>523</v>
      </c>
      <c r="J7" s="45">
        <f>K7/B7</f>
        <v>11158.623931623932</v>
      </c>
      <c r="K7" s="81">
        <v>1305559</v>
      </c>
      <c r="M7" s="49">
        <v>1079938</v>
      </c>
    </row>
    <row r="8" spans="1:13" s="41" customFormat="1" ht="17.45" customHeight="1">
      <c r="A8" s="90" t="s">
        <v>11</v>
      </c>
      <c r="B8" s="81">
        <v>70</v>
      </c>
      <c r="C8" s="81">
        <v>0</v>
      </c>
      <c r="D8" s="81">
        <v>12</v>
      </c>
      <c r="E8" s="81">
        <v>91</v>
      </c>
      <c r="F8" s="81">
        <v>0</v>
      </c>
      <c r="G8" s="81">
        <v>43</v>
      </c>
      <c r="H8" s="81">
        <v>40</v>
      </c>
      <c r="I8" s="81">
        <v>183</v>
      </c>
      <c r="J8" s="45">
        <f>K8/B8</f>
        <v>7250.6714285714288</v>
      </c>
      <c r="K8" s="81">
        <v>507547</v>
      </c>
      <c r="M8" s="49">
        <v>458064</v>
      </c>
    </row>
    <row r="9" spans="1:13" s="41" customFormat="1" ht="17.45" customHeight="1">
      <c r="A9" s="90" t="s">
        <v>20</v>
      </c>
      <c r="B9" s="81">
        <v>149</v>
      </c>
      <c r="C9" s="81">
        <v>1</v>
      </c>
      <c r="D9" s="81">
        <v>16</v>
      </c>
      <c r="E9" s="81">
        <v>94</v>
      </c>
      <c r="F9" s="81">
        <v>0</v>
      </c>
      <c r="G9" s="81">
        <v>21</v>
      </c>
      <c r="H9" s="81">
        <v>30</v>
      </c>
      <c r="I9" s="81">
        <v>208</v>
      </c>
      <c r="J9" s="45">
        <f t="shared" si="2"/>
        <v>6496.9664429530203</v>
      </c>
      <c r="K9" s="81">
        <v>968048</v>
      </c>
      <c r="M9" s="49">
        <v>957370</v>
      </c>
    </row>
    <row r="10" spans="1:13" s="41" customFormat="1" ht="17.45" customHeight="1">
      <c r="A10" s="90" t="s">
        <v>2</v>
      </c>
      <c r="B10" s="81">
        <v>293</v>
      </c>
      <c r="C10" s="81">
        <v>1</v>
      </c>
      <c r="D10" s="81">
        <v>27</v>
      </c>
      <c r="E10" s="81">
        <v>213</v>
      </c>
      <c r="F10" s="81">
        <v>0</v>
      </c>
      <c r="G10" s="81">
        <v>55</v>
      </c>
      <c r="H10" s="81">
        <v>62</v>
      </c>
      <c r="I10" s="81">
        <v>393</v>
      </c>
      <c r="J10" s="45">
        <f t="shared" si="2"/>
        <v>5867.334470989761</v>
      </c>
      <c r="K10" s="81">
        <v>1719129</v>
      </c>
      <c r="M10" s="49">
        <v>1648833</v>
      </c>
    </row>
    <row r="11" spans="1:13" s="41" customFormat="1" ht="17.45" customHeight="1">
      <c r="A11" s="90" t="s">
        <v>17</v>
      </c>
      <c r="B11" s="81">
        <v>112</v>
      </c>
      <c r="C11" s="81">
        <v>1</v>
      </c>
      <c r="D11" s="81">
        <v>22</v>
      </c>
      <c r="E11" s="81">
        <v>143</v>
      </c>
      <c r="F11" s="81">
        <v>0</v>
      </c>
      <c r="G11" s="81">
        <v>67</v>
      </c>
      <c r="H11" s="81">
        <v>38</v>
      </c>
      <c r="I11" s="81">
        <v>291</v>
      </c>
      <c r="J11" s="45">
        <f t="shared" si="2"/>
        <v>4186.6071428571431</v>
      </c>
      <c r="K11" s="81">
        <v>468900</v>
      </c>
      <c r="M11" s="49">
        <v>484522</v>
      </c>
    </row>
    <row r="12" spans="1:13" s="41" customFormat="1" ht="17.45" customHeight="1">
      <c r="A12" s="90" t="s">
        <v>15</v>
      </c>
      <c r="B12" s="81">
        <f>92+7</f>
        <v>99</v>
      </c>
      <c r="C12" s="81">
        <v>4</v>
      </c>
      <c r="D12" s="81">
        <v>16</v>
      </c>
      <c r="E12" s="81">
        <v>284</v>
      </c>
      <c r="F12" s="81">
        <v>0</v>
      </c>
      <c r="G12" s="81">
        <f>102+14</f>
        <v>116</v>
      </c>
      <c r="H12" s="81">
        <f>95+6</f>
        <v>101</v>
      </c>
      <c r="I12" s="81">
        <f>481+38</f>
        <v>519</v>
      </c>
      <c r="J12" s="45">
        <f t="shared" si="2"/>
        <v>18742.939393939392</v>
      </c>
      <c r="K12" s="81">
        <v>1855551</v>
      </c>
      <c r="M12" s="49">
        <v>1463733</v>
      </c>
    </row>
    <row r="13" spans="1:13" s="41" customFormat="1" ht="17.45" customHeight="1">
      <c r="A13" s="90" t="s">
        <v>70</v>
      </c>
      <c r="B13" s="81">
        <v>359</v>
      </c>
      <c r="C13" s="81">
        <v>2</v>
      </c>
      <c r="D13" s="81">
        <v>30</v>
      </c>
      <c r="E13" s="81">
        <v>238</v>
      </c>
      <c r="F13" s="81">
        <v>0</v>
      </c>
      <c r="G13" s="81">
        <v>60</v>
      </c>
      <c r="H13" s="81">
        <v>65</v>
      </c>
      <c r="I13" s="81">
        <v>364</v>
      </c>
      <c r="J13" s="45">
        <f t="shared" si="2"/>
        <v>4349.6657381615596</v>
      </c>
      <c r="K13" s="81">
        <v>1561530</v>
      </c>
      <c r="M13" s="49">
        <v>1264001</v>
      </c>
    </row>
    <row r="14" spans="1:13" s="41" customFormat="1" ht="17.45" customHeight="1">
      <c r="A14" s="90" t="s">
        <v>71</v>
      </c>
      <c r="B14" s="81">
        <v>132</v>
      </c>
      <c r="C14" s="81">
        <v>0</v>
      </c>
      <c r="D14" s="81">
        <v>21</v>
      </c>
      <c r="E14" s="81">
        <v>120</v>
      </c>
      <c r="F14" s="81">
        <v>0</v>
      </c>
      <c r="G14" s="81">
        <v>44</v>
      </c>
      <c r="H14" s="81">
        <v>66</v>
      </c>
      <c r="I14" s="81">
        <v>282</v>
      </c>
      <c r="J14" s="45">
        <f t="shared" si="2"/>
        <v>7802.280303030303</v>
      </c>
      <c r="K14" s="81">
        <v>1029901</v>
      </c>
      <c r="M14" s="49">
        <v>910625</v>
      </c>
    </row>
    <row r="15" spans="1:13" s="41" customFormat="1" ht="17.45" customHeight="1">
      <c r="A15" s="90" t="s">
        <v>6</v>
      </c>
      <c r="B15" s="81">
        <v>77</v>
      </c>
      <c r="C15" s="81">
        <v>0</v>
      </c>
      <c r="D15" s="81">
        <v>15</v>
      </c>
      <c r="E15" s="81">
        <v>72</v>
      </c>
      <c r="F15" s="81">
        <v>0</v>
      </c>
      <c r="G15" s="81">
        <v>17</v>
      </c>
      <c r="H15" s="81">
        <v>32</v>
      </c>
      <c r="I15" s="81">
        <v>123</v>
      </c>
      <c r="J15" s="45">
        <f t="shared" si="2"/>
        <v>7236.1038961038957</v>
      </c>
      <c r="K15" s="81">
        <v>557180</v>
      </c>
      <c r="M15" s="49">
        <v>538838</v>
      </c>
    </row>
    <row r="16" spans="1:13" s="41" customFormat="1" ht="17.45" customHeight="1">
      <c r="A16" s="90" t="s">
        <v>9</v>
      </c>
      <c r="B16" s="81">
        <v>214</v>
      </c>
      <c r="C16" s="81">
        <v>2</v>
      </c>
      <c r="D16" s="81">
        <v>33</v>
      </c>
      <c r="E16" s="81">
        <v>144</v>
      </c>
      <c r="F16" s="81">
        <v>0</v>
      </c>
      <c r="G16" s="81">
        <v>67</v>
      </c>
      <c r="H16" s="81">
        <v>74</v>
      </c>
      <c r="I16" s="81">
        <v>327</v>
      </c>
      <c r="J16" s="45">
        <f t="shared" si="2"/>
        <v>4933.4906542056078</v>
      </c>
      <c r="K16" s="81">
        <v>1055767</v>
      </c>
      <c r="M16" s="49">
        <v>996795</v>
      </c>
    </row>
    <row r="17" spans="1:13" s="41" customFormat="1" ht="17.45" customHeight="1">
      <c r="A17" s="90" t="s">
        <v>7</v>
      </c>
      <c r="B17" s="81">
        <v>200</v>
      </c>
      <c r="C17" s="81">
        <v>1</v>
      </c>
      <c r="D17" s="81">
        <v>24</v>
      </c>
      <c r="E17" s="81">
        <v>179</v>
      </c>
      <c r="F17" s="81">
        <v>0</v>
      </c>
      <c r="G17" s="81">
        <v>45</v>
      </c>
      <c r="H17" s="81">
        <v>51</v>
      </c>
      <c r="I17" s="81">
        <v>352</v>
      </c>
      <c r="J17" s="45">
        <f t="shared" si="2"/>
        <v>3772.3850000000002</v>
      </c>
      <c r="K17" s="81">
        <v>754477</v>
      </c>
      <c r="M17" s="49">
        <v>739243</v>
      </c>
    </row>
    <row r="18" spans="1:13" s="41" customFormat="1" ht="17.45" customHeight="1">
      <c r="A18" s="90" t="s">
        <v>92</v>
      </c>
      <c r="B18" s="81">
        <v>176</v>
      </c>
      <c r="C18" s="81">
        <v>1</v>
      </c>
      <c r="D18" s="81">
        <v>4</v>
      </c>
      <c r="E18" s="81">
        <v>149</v>
      </c>
      <c r="F18" s="81">
        <v>0</v>
      </c>
      <c r="G18" s="81">
        <v>60</v>
      </c>
      <c r="H18" s="81">
        <v>24</v>
      </c>
      <c r="I18" s="81">
        <v>270</v>
      </c>
      <c r="J18" s="45">
        <f t="shared" si="2"/>
        <v>6060.914772727273</v>
      </c>
      <c r="K18" s="81">
        <v>1066721</v>
      </c>
      <c r="M18" s="50"/>
    </row>
    <row r="19" spans="1:13" s="41" customFormat="1" ht="17.45" customHeight="1">
      <c r="A19" s="90" t="s">
        <v>5</v>
      </c>
      <c r="B19" s="81">
        <f>215+15</f>
        <v>230</v>
      </c>
      <c r="C19" s="81">
        <v>2</v>
      </c>
      <c r="D19" s="81">
        <v>26</v>
      </c>
      <c r="E19" s="81">
        <v>191</v>
      </c>
      <c r="F19" s="81">
        <v>0</v>
      </c>
      <c r="G19" s="81">
        <f>36+19</f>
        <v>55</v>
      </c>
      <c r="H19" s="81">
        <f>51+11</f>
        <v>62</v>
      </c>
      <c r="I19" s="81">
        <f>287+41</f>
        <v>328</v>
      </c>
      <c r="J19" s="45">
        <f t="shared" si="2"/>
        <v>5201.4304347826082</v>
      </c>
      <c r="K19" s="81">
        <v>1196329</v>
      </c>
      <c r="M19" s="49">
        <v>963898</v>
      </c>
    </row>
    <row r="20" spans="1:13" s="41" customFormat="1" ht="17.45" customHeight="1">
      <c r="A20" s="90" t="s">
        <v>12</v>
      </c>
      <c r="B20" s="81">
        <v>62</v>
      </c>
      <c r="C20" s="81">
        <v>0</v>
      </c>
      <c r="D20" s="81">
        <v>12</v>
      </c>
      <c r="E20" s="81">
        <v>9</v>
      </c>
      <c r="F20" s="81">
        <v>0</v>
      </c>
      <c r="G20" s="81">
        <v>3</v>
      </c>
      <c r="H20" s="81">
        <v>52</v>
      </c>
      <c r="I20" s="81">
        <v>191</v>
      </c>
      <c r="J20" s="45">
        <f t="shared" si="2"/>
        <v>13565.403225806451</v>
      </c>
      <c r="K20" s="81">
        <v>841055</v>
      </c>
      <c r="M20" s="49">
        <v>479757</v>
      </c>
    </row>
    <row r="21" spans="1:13" s="41" customFormat="1" ht="17.45" customHeight="1">
      <c r="A21" s="90" t="s">
        <v>93</v>
      </c>
      <c r="B21" s="81">
        <v>150</v>
      </c>
      <c r="C21" s="81">
        <v>1</v>
      </c>
      <c r="D21" s="81">
        <v>6</v>
      </c>
      <c r="E21" s="81">
        <v>60</v>
      </c>
      <c r="F21" s="81">
        <v>0</v>
      </c>
      <c r="G21" s="81">
        <v>92</v>
      </c>
      <c r="H21" s="81">
        <v>28</v>
      </c>
      <c r="I21" s="81">
        <v>458</v>
      </c>
      <c r="J21" s="45">
        <f t="shared" si="2"/>
        <v>4284.2866666666669</v>
      </c>
      <c r="K21" s="81">
        <v>642643</v>
      </c>
      <c r="L21" s="25"/>
      <c r="M21" s="46"/>
    </row>
    <row r="22" spans="1:13" s="41" customFormat="1" ht="17.45" customHeight="1">
      <c r="A22" s="90" t="s">
        <v>14</v>
      </c>
      <c r="B22" s="81">
        <v>122</v>
      </c>
      <c r="C22" s="81">
        <v>1</v>
      </c>
      <c r="D22" s="81">
        <v>18</v>
      </c>
      <c r="E22" s="81">
        <v>164</v>
      </c>
      <c r="F22" s="81">
        <v>0</v>
      </c>
      <c r="G22" s="81">
        <f>68+15</f>
        <v>83</v>
      </c>
      <c r="H22" s="81">
        <f>67+7</f>
        <v>74</v>
      </c>
      <c r="I22" s="81">
        <f>325+24</f>
        <v>349</v>
      </c>
      <c r="J22" s="45">
        <f>K22/B22</f>
        <v>8058.6803278688521</v>
      </c>
      <c r="K22" s="81">
        <v>983159</v>
      </c>
      <c r="M22" s="49">
        <v>827316</v>
      </c>
    </row>
    <row r="23" spans="1:13" s="41" customFormat="1" ht="17.45" customHeight="1">
      <c r="A23" s="90" t="s">
        <v>21</v>
      </c>
      <c r="B23" s="81">
        <v>203</v>
      </c>
      <c r="C23" s="81">
        <v>2</v>
      </c>
      <c r="D23" s="81">
        <v>30</v>
      </c>
      <c r="E23" s="81">
        <v>131</v>
      </c>
      <c r="F23" s="81">
        <v>0</v>
      </c>
      <c r="G23" s="81">
        <v>45</v>
      </c>
      <c r="H23" s="81">
        <v>44</v>
      </c>
      <c r="I23" s="81">
        <v>296</v>
      </c>
      <c r="J23" s="45">
        <f t="shared" si="2"/>
        <v>3766.8768472906404</v>
      </c>
      <c r="K23" s="81">
        <v>764676</v>
      </c>
      <c r="M23" s="49">
        <v>788915</v>
      </c>
    </row>
    <row r="24" spans="1:13" s="41" customFormat="1" ht="17.45" customHeight="1">
      <c r="A24" s="90" t="s">
        <v>10</v>
      </c>
      <c r="B24" s="81">
        <v>296</v>
      </c>
      <c r="C24" s="81">
        <v>2</v>
      </c>
      <c r="D24" s="81">
        <v>41</v>
      </c>
      <c r="E24" s="81">
        <v>150</v>
      </c>
      <c r="F24" s="81">
        <v>0</v>
      </c>
      <c r="G24" s="81">
        <v>116</v>
      </c>
      <c r="H24" s="81">
        <v>84</v>
      </c>
      <c r="I24" s="81">
        <v>459</v>
      </c>
      <c r="J24" s="45">
        <f>K24/B24</f>
        <v>5616.239864864865</v>
      </c>
      <c r="K24" s="81">
        <v>1662407</v>
      </c>
      <c r="M24" s="49">
        <v>1718554</v>
      </c>
    </row>
    <row r="25" spans="1:13" s="41" customFormat="1" ht="17.45" customHeight="1">
      <c r="A25" s="90" t="s">
        <v>3</v>
      </c>
      <c r="B25" s="81">
        <v>296</v>
      </c>
      <c r="C25" s="81">
        <v>4</v>
      </c>
      <c r="D25" s="81">
        <v>33</v>
      </c>
      <c r="E25" s="81">
        <v>376</v>
      </c>
      <c r="F25" s="81">
        <v>0</v>
      </c>
      <c r="G25" s="81">
        <v>92</v>
      </c>
      <c r="H25" s="81">
        <v>91</v>
      </c>
      <c r="I25" s="81">
        <v>458</v>
      </c>
      <c r="J25" s="45">
        <f t="shared" si="2"/>
        <v>8595.2871621621616</v>
      </c>
      <c r="K25" s="81">
        <v>2544205</v>
      </c>
      <c r="M25" s="49">
        <v>2405309</v>
      </c>
    </row>
    <row r="26" spans="1:13" s="41" customFormat="1" ht="17.45" customHeight="1">
      <c r="A26" s="90" t="s">
        <v>94</v>
      </c>
      <c r="B26" s="81">
        <v>91</v>
      </c>
      <c r="C26" s="81">
        <v>1</v>
      </c>
      <c r="D26" s="81">
        <v>1</v>
      </c>
      <c r="E26" s="81">
        <v>41</v>
      </c>
      <c r="F26" s="81">
        <v>0</v>
      </c>
      <c r="G26" s="81">
        <v>40</v>
      </c>
      <c r="H26" s="81">
        <v>32</v>
      </c>
      <c r="I26" s="81">
        <v>250</v>
      </c>
      <c r="J26" s="45">
        <f t="shared" si="2"/>
        <v>5467.3076923076924</v>
      </c>
      <c r="K26" s="81">
        <v>497525</v>
      </c>
      <c r="M26" s="50"/>
    </row>
    <row r="27" spans="1:13" s="41" customFormat="1" ht="17.45" customHeight="1">
      <c r="A27" s="90" t="s">
        <v>96</v>
      </c>
      <c r="B27" s="81">
        <v>169</v>
      </c>
      <c r="C27" s="81">
        <v>1</v>
      </c>
      <c r="D27" s="81">
        <v>12</v>
      </c>
      <c r="E27" s="81">
        <v>120</v>
      </c>
      <c r="F27" s="81">
        <v>0</v>
      </c>
      <c r="G27" s="81">
        <v>293</v>
      </c>
      <c r="H27" s="81">
        <v>140</v>
      </c>
      <c r="I27" s="81">
        <v>817</v>
      </c>
      <c r="J27" s="45">
        <f t="shared" si="2"/>
        <v>3379.7159763313612</v>
      </c>
      <c r="K27" s="81">
        <v>571172</v>
      </c>
      <c r="M27" s="50"/>
    </row>
    <row r="28" spans="1:13" s="41" customFormat="1" ht="17.45" customHeight="1">
      <c r="A28" s="90" t="s">
        <v>1</v>
      </c>
      <c r="B28" s="81">
        <v>311</v>
      </c>
      <c r="C28" s="81">
        <v>2</v>
      </c>
      <c r="D28" s="81">
        <v>38</v>
      </c>
      <c r="E28" s="81">
        <v>254</v>
      </c>
      <c r="F28" s="81">
        <v>0</v>
      </c>
      <c r="G28" s="81">
        <v>60</v>
      </c>
      <c r="H28" s="81">
        <v>56</v>
      </c>
      <c r="I28" s="81">
        <v>314</v>
      </c>
      <c r="J28" s="45">
        <f t="shared" si="2"/>
        <v>5292.7749196141476</v>
      </c>
      <c r="K28" s="81">
        <v>1646053</v>
      </c>
      <c r="M28" s="51">
        <v>1414780</v>
      </c>
    </row>
    <row r="29" spans="1:13" s="41" customFormat="1" ht="17.45" customHeight="1">
      <c r="A29" s="90" t="s">
        <v>95</v>
      </c>
      <c r="B29" s="81">
        <v>134</v>
      </c>
      <c r="C29" s="81">
        <v>0</v>
      </c>
      <c r="D29" s="81">
        <v>4</v>
      </c>
      <c r="E29" s="81">
        <v>66</v>
      </c>
      <c r="F29" s="81">
        <v>0</v>
      </c>
      <c r="G29" s="81">
        <v>53</v>
      </c>
      <c r="H29" s="81">
        <v>29</v>
      </c>
      <c r="I29" s="81">
        <v>206</v>
      </c>
      <c r="J29" s="45">
        <f t="shared" si="2"/>
        <v>1930.455223880597</v>
      </c>
      <c r="K29" s="81">
        <v>258681</v>
      </c>
      <c r="M29" s="103"/>
    </row>
    <row r="30" spans="1:13" s="25" customFormat="1" ht="17.45" customHeight="1">
      <c r="A30" s="90" t="s">
        <v>0</v>
      </c>
      <c r="B30" s="81">
        <f>448+13</f>
        <v>461</v>
      </c>
      <c r="C30" s="81">
        <v>13</v>
      </c>
      <c r="D30" s="81">
        <v>58</v>
      </c>
      <c r="E30" s="81">
        <v>1891</v>
      </c>
      <c r="F30" s="81">
        <v>0</v>
      </c>
      <c r="G30" s="81">
        <v>94</v>
      </c>
      <c r="H30" s="81">
        <f>113+16</f>
        <v>129</v>
      </c>
      <c r="I30" s="81">
        <f>584+37</f>
        <v>621</v>
      </c>
      <c r="J30" s="45">
        <f t="shared" si="2"/>
        <v>10438.943600867678</v>
      </c>
      <c r="K30" s="81">
        <v>4812353</v>
      </c>
      <c r="L30" s="41"/>
      <c r="M30" s="104">
        <v>3638266</v>
      </c>
    </row>
    <row r="31" spans="1:13" s="41" customFormat="1" ht="17.45" customHeight="1">
      <c r="A31" s="90" t="s">
        <v>19</v>
      </c>
      <c r="B31" s="81">
        <v>137</v>
      </c>
      <c r="C31" s="81">
        <v>2</v>
      </c>
      <c r="D31" s="81">
        <v>23</v>
      </c>
      <c r="E31" s="81">
        <v>131</v>
      </c>
      <c r="F31" s="81">
        <v>0</v>
      </c>
      <c r="G31" s="81">
        <v>19</v>
      </c>
      <c r="H31" s="81">
        <v>41</v>
      </c>
      <c r="I31" s="81">
        <v>225</v>
      </c>
      <c r="J31" s="45">
        <f>K31/B31</f>
        <v>5984.9708029197081</v>
      </c>
      <c r="K31" s="81">
        <v>819941</v>
      </c>
      <c r="M31" s="104">
        <v>746941</v>
      </c>
    </row>
    <row r="32" spans="1:13" s="25" customFormat="1" ht="17.45" customHeight="1">
      <c r="A32" s="90" t="s">
        <v>97</v>
      </c>
      <c r="B32" s="81">
        <v>213</v>
      </c>
      <c r="C32" s="81">
        <v>1</v>
      </c>
      <c r="D32" s="81">
        <v>3</v>
      </c>
      <c r="E32" s="81">
        <v>151</v>
      </c>
      <c r="F32" s="81">
        <v>0</v>
      </c>
      <c r="G32" s="81">
        <v>104</v>
      </c>
      <c r="H32" s="81">
        <v>32</v>
      </c>
      <c r="I32" s="81">
        <v>422</v>
      </c>
      <c r="J32" s="45">
        <f t="shared" si="2"/>
        <v>3371.868544600939</v>
      </c>
      <c r="K32" s="81">
        <v>718208</v>
      </c>
      <c r="L32" s="41"/>
      <c r="M32" s="103"/>
    </row>
    <row r="33" spans="1:13" s="41" customFormat="1" ht="17.45" customHeight="1">
      <c r="A33" s="90" t="s">
        <v>4</v>
      </c>
      <c r="B33" s="81">
        <v>255</v>
      </c>
      <c r="C33" s="81">
        <v>2</v>
      </c>
      <c r="D33" s="81">
        <v>31</v>
      </c>
      <c r="E33" s="81">
        <v>261</v>
      </c>
      <c r="F33" s="81">
        <v>0</v>
      </c>
      <c r="G33" s="81">
        <v>29</v>
      </c>
      <c r="H33" s="81">
        <v>72</v>
      </c>
      <c r="I33" s="81">
        <v>365</v>
      </c>
      <c r="J33" s="45">
        <f t="shared" si="2"/>
        <v>6806.0470588235294</v>
      </c>
      <c r="K33" s="81">
        <v>1735542</v>
      </c>
      <c r="M33" s="104">
        <v>1677871</v>
      </c>
    </row>
    <row r="34" spans="1:13" s="41" customFormat="1" ht="17.45" customHeight="1">
      <c r="A34" s="90" t="s">
        <v>18</v>
      </c>
      <c r="B34" s="81">
        <v>482</v>
      </c>
      <c r="C34" s="81">
        <v>4</v>
      </c>
      <c r="D34" s="81">
        <v>32</v>
      </c>
      <c r="E34" s="81">
        <v>646</v>
      </c>
      <c r="F34" s="81">
        <v>0</v>
      </c>
      <c r="G34" s="81">
        <v>77</v>
      </c>
      <c r="H34" s="81">
        <v>87</v>
      </c>
      <c r="I34" s="81">
        <v>354</v>
      </c>
      <c r="J34" s="45">
        <f t="shared" si="2"/>
        <v>5204.1390041493778</v>
      </c>
      <c r="K34" s="81">
        <v>2508395</v>
      </c>
      <c r="M34" s="104">
        <v>2197013</v>
      </c>
    </row>
    <row r="35" spans="1:13" s="41" customFormat="1" ht="17.45" customHeight="1">
      <c r="A35" s="90" t="s">
        <v>16</v>
      </c>
      <c r="B35" s="81">
        <f>55+12</f>
        <v>67</v>
      </c>
      <c r="C35" s="81">
        <v>0</v>
      </c>
      <c r="D35" s="81">
        <v>14</v>
      </c>
      <c r="E35" s="81">
        <v>48</v>
      </c>
      <c r="F35" s="81">
        <v>0</v>
      </c>
      <c r="G35" s="81">
        <f>30+54</f>
        <v>84</v>
      </c>
      <c r="H35" s="81">
        <f>43+11</f>
        <v>54</v>
      </c>
      <c r="I35" s="81">
        <f>132+89</f>
        <v>221</v>
      </c>
      <c r="J35" s="45">
        <f t="shared" si="2"/>
        <v>6803.3880597014922</v>
      </c>
      <c r="K35" s="81">
        <v>455827</v>
      </c>
      <c r="M35" s="104">
        <v>400192</v>
      </c>
    </row>
    <row r="36" spans="1:13" s="41" customFormat="1" ht="17.45" customHeight="1">
      <c r="A36" s="90" t="s">
        <v>73</v>
      </c>
      <c r="B36" s="81">
        <v>8</v>
      </c>
      <c r="C36" s="81">
        <v>0</v>
      </c>
      <c r="D36" s="81">
        <v>0</v>
      </c>
      <c r="E36" s="81">
        <v>0</v>
      </c>
      <c r="F36" s="81">
        <v>0</v>
      </c>
      <c r="G36" s="81">
        <v>8</v>
      </c>
      <c r="H36" s="81">
        <v>19</v>
      </c>
      <c r="I36" s="81">
        <v>66</v>
      </c>
      <c r="J36" s="45">
        <f t="shared" si="2"/>
        <v>23452.5</v>
      </c>
      <c r="K36" s="81">
        <v>187620</v>
      </c>
      <c r="M36" s="104">
        <v>0</v>
      </c>
    </row>
    <row r="37" spans="1:13" s="12" customFormat="1" ht="12.95" customHeight="1">
      <c r="A37" s="121" t="s">
        <v>141</v>
      </c>
    </row>
    <row r="38" spans="1:13" s="12" customFormat="1" ht="12.95" customHeight="1">
      <c r="E38" s="6"/>
      <c r="J38" s="122" t="s">
        <v>89</v>
      </c>
    </row>
    <row r="39" spans="1:13">
      <c r="E39" s="5"/>
    </row>
    <row r="40" spans="1:13">
      <c r="E40" s="5"/>
    </row>
    <row r="41" spans="1:13">
      <c r="E41" s="5"/>
    </row>
    <row r="42" spans="1:13">
      <c r="E42" s="6"/>
    </row>
  </sheetData>
  <sortState ref="A5:M36">
    <sortCondition ref="A5:A36"/>
  </sortState>
  <mergeCells count="2">
    <mergeCell ref="A1:J1"/>
    <mergeCell ref="I2:J2"/>
  </mergeCells>
  <phoneticPr fontId="0" type="noConversion"/>
  <printOptions horizontalCentered="1"/>
  <pageMargins left="0.74803149606299202" right="0.74803149606299202" top="0.90551181102362199" bottom="0.78740157480314998" header="0.511811023622047" footer="0.511811023622047"/>
  <pageSetup paperSize="9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39"/>
  <sheetViews>
    <sheetView view="pageBreakPreview" zoomScaleSheetLayoutView="100" workbookViewId="0">
      <selection activeCell="L6" sqref="L6"/>
    </sheetView>
  </sheetViews>
  <sheetFormatPr defaultRowHeight="12.75"/>
  <cols>
    <col min="1" max="1" width="11.85546875" customWidth="1"/>
    <col min="2" max="2" width="7.7109375" bestFit="1" customWidth="1"/>
    <col min="3" max="3" width="11.85546875" customWidth="1"/>
    <col min="4" max="4" width="9.5703125" bestFit="1" customWidth="1"/>
    <col min="5" max="5" width="7.42578125" customWidth="1"/>
    <col min="6" max="6" width="6.28515625" bestFit="1" customWidth="1"/>
    <col min="7" max="7" width="6" customWidth="1"/>
    <col min="8" max="8" width="9.5703125" customWidth="1"/>
    <col min="9" max="9" width="8.42578125" customWidth="1"/>
    <col min="10" max="10" width="7" customWidth="1"/>
    <col min="11" max="11" width="11" hidden="1" customWidth="1"/>
  </cols>
  <sheetData>
    <row r="1" spans="1:18" ht="60" customHeight="1">
      <c r="A1" s="161" t="s">
        <v>125</v>
      </c>
      <c r="B1" s="161"/>
      <c r="C1" s="161"/>
      <c r="D1" s="161"/>
      <c r="E1" s="161"/>
      <c r="F1" s="161"/>
      <c r="G1" s="161"/>
      <c r="H1" s="161"/>
      <c r="I1" s="161"/>
      <c r="J1" s="161"/>
      <c r="K1" s="18"/>
    </row>
    <row r="2" spans="1:18" s="2" customFormat="1" ht="12.95" customHeight="1">
      <c r="A2" s="21" t="s">
        <v>81</v>
      </c>
      <c r="E2" s="59" t="s">
        <v>106</v>
      </c>
      <c r="H2" s="115"/>
      <c r="I2" s="115"/>
      <c r="J2" s="112" t="s">
        <v>51</v>
      </c>
      <c r="K2" s="21"/>
    </row>
    <row r="3" spans="1:18" ht="51">
      <c r="A3" s="60" t="s">
        <v>28</v>
      </c>
      <c r="B3" s="60" t="s">
        <v>110</v>
      </c>
      <c r="C3" s="60" t="s">
        <v>111</v>
      </c>
      <c r="D3" s="60" t="s">
        <v>112</v>
      </c>
      <c r="E3" s="60" t="s">
        <v>113</v>
      </c>
      <c r="F3" s="60" t="s">
        <v>126</v>
      </c>
      <c r="G3" s="60" t="s">
        <v>127</v>
      </c>
      <c r="H3" s="61" t="s">
        <v>115</v>
      </c>
      <c r="I3" s="60" t="s">
        <v>52</v>
      </c>
      <c r="J3" s="82" t="s">
        <v>59</v>
      </c>
      <c r="K3" s="39"/>
    </row>
    <row r="4" spans="1:18" ht="26.1" customHeight="1">
      <c r="A4" s="123" t="s">
        <v>143</v>
      </c>
      <c r="B4" s="48">
        <f>SUM(B5:B36)</f>
        <v>7559</v>
      </c>
      <c r="C4" s="48">
        <f t="shared" ref="C4:I4" si="0">SUM(C5:C36)</f>
        <v>81</v>
      </c>
      <c r="D4" s="48">
        <f t="shared" si="0"/>
        <v>701</v>
      </c>
      <c r="E4" s="48">
        <f t="shared" si="0"/>
        <v>9825</v>
      </c>
      <c r="F4" s="48">
        <f t="shared" si="0"/>
        <v>1</v>
      </c>
      <c r="G4" s="48">
        <f t="shared" si="0"/>
        <v>3425</v>
      </c>
      <c r="H4" s="48">
        <f t="shared" si="0"/>
        <v>1934</v>
      </c>
      <c r="I4" s="48">
        <f t="shared" si="0"/>
        <v>13263</v>
      </c>
      <c r="J4" s="48">
        <f>K4/B4</f>
        <v>5049.3712131234288</v>
      </c>
      <c r="K4" s="109">
        <v>38168197</v>
      </c>
    </row>
    <row r="5" spans="1:18" s="1" customFormat="1" ht="16.5" customHeight="1">
      <c r="A5" s="63" t="s">
        <v>8</v>
      </c>
      <c r="B5" s="58">
        <v>359</v>
      </c>
      <c r="C5" s="58">
        <v>3</v>
      </c>
      <c r="D5" s="58">
        <v>31</v>
      </c>
      <c r="E5" s="58">
        <v>639</v>
      </c>
      <c r="F5" s="58" t="s">
        <v>123</v>
      </c>
      <c r="G5" s="58">
        <v>1016</v>
      </c>
      <c r="H5" s="64">
        <v>77</v>
      </c>
      <c r="I5" s="58">
        <v>692</v>
      </c>
      <c r="J5" s="45">
        <f>K5/B5</f>
        <v>3939.58495821727</v>
      </c>
      <c r="K5" s="81">
        <v>1414311</v>
      </c>
    </row>
    <row r="6" spans="1:18" s="1" customFormat="1" ht="16.5" customHeight="1">
      <c r="A6" s="65" t="s">
        <v>91</v>
      </c>
      <c r="B6" s="58">
        <v>210</v>
      </c>
      <c r="C6" s="58">
        <v>1</v>
      </c>
      <c r="D6" s="58">
        <v>5</v>
      </c>
      <c r="E6" s="64">
        <v>87</v>
      </c>
      <c r="F6" s="64" t="s">
        <v>123</v>
      </c>
      <c r="G6" s="64">
        <v>69</v>
      </c>
      <c r="H6" s="64">
        <v>38</v>
      </c>
      <c r="I6" s="64">
        <v>413</v>
      </c>
      <c r="J6" s="45">
        <f t="shared" ref="J6:J36" si="1">K6/B6</f>
        <v>5643.304761904762</v>
      </c>
      <c r="K6" s="81">
        <v>1185094</v>
      </c>
      <c r="L6" s="20"/>
      <c r="M6" s="20"/>
      <c r="N6" s="20"/>
      <c r="O6" s="20"/>
      <c r="P6" s="20"/>
      <c r="Q6" s="20"/>
      <c r="R6" s="20"/>
    </row>
    <row r="7" spans="1:18" s="1" customFormat="1" ht="16.5" customHeight="1">
      <c r="A7" s="63" t="s">
        <v>13</v>
      </c>
      <c r="B7" s="58">
        <v>238</v>
      </c>
      <c r="C7" s="58">
        <v>4</v>
      </c>
      <c r="D7" s="58">
        <v>16</v>
      </c>
      <c r="E7" s="58">
        <v>385</v>
      </c>
      <c r="F7" s="58" t="s">
        <v>123</v>
      </c>
      <c r="G7" s="58">
        <v>219</v>
      </c>
      <c r="H7" s="64">
        <v>102</v>
      </c>
      <c r="I7" s="58">
        <v>635</v>
      </c>
      <c r="J7" s="45">
        <f>K7/B7</f>
        <v>5485.542016806723</v>
      </c>
      <c r="K7" s="81">
        <v>1305559</v>
      </c>
    </row>
    <row r="8" spans="1:18" s="1" customFormat="1" ht="16.5" customHeight="1">
      <c r="A8" s="63" t="s">
        <v>11</v>
      </c>
      <c r="B8" s="58">
        <v>70</v>
      </c>
      <c r="C8" s="58" t="s">
        <v>123</v>
      </c>
      <c r="D8" s="58">
        <v>12</v>
      </c>
      <c r="E8" s="58">
        <v>91</v>
      </c>
      <c r="F8" s="58" t="s">
        <v>123</v>
      </c>
      <c r="G8" s="58">
        <v>43</v>
      </c>
      <c r="H8" s="64">
        <v>40</v>
      </c>
      <c r="I8" s="58">
        <v>183</v>
      </c>
      <c r="J8" s="45">
        <f>K8/B8</f>
        <v>7250.6714285714288</v>
      </c>
      <c r="K8" s="81">
        <v>507547</v>
      </c>
    </row>
    <row r="9" spans="1:18" s="1" customFormat="1" ht="16.5" customHeight="1">
      <c r="A9" s="63" t="s">
        <v>20</v>
      </c>
      <c r="B9" s="58">
        <v>149</v>
      </c>
      <c r="C9" s="58">
        <v>1</v>
      </c>
      <c r="D9" s="58">
        <v>16</v>
      </c>
      <c r="E9" s="58">
        <v>94</v>
      </c>
      <c r="F9" s="58" t="s">
        <v>123</v>
      </c>
      <c r="G9" s="58">
        <v>21</v>
      </c>
      <c r="H9" s="64">
        <v>30</v>
      </c>
      <c r="I9" s="58">
        <v>208</v>
      </c>
      <c r="J9" s="45">
        <f t="shared" si="1"/>
        <v>6496.9664429530203</v>
      </c>
      <c r="K9" s="81">
        <v>968048</v>
      </c>
    </row>
    <row r="10" spans="1:18" s="1" customFormat="1" ht="16.5" customHeight="1">
      <c r="A10" s="63" t="s">
        <v>2</v>
      </c>
      <c r="B10" s="58">
        <v>293</v>
      </c>
      <c r="C10" s="58">
        <v>1</v>
      </c>
      <c r="D10" s="58">
        <v>27</v>
      </c>
      <c r="E10" s="58">
        <v>213</v>
      </c>
      <c r="F10" s="58" t="s">
        <v>123</v>
      </c>
      <c r="G10" s="58">
        <v>55</v>
      </c>
      <c r="H10" s="64">
        <v>62</v>
      </c>
      <c r="I10" s="58">
        <v>393</v>
      </c>
      <c r="J10" s="45">
        <f t="shared" si="1"/>
        <v>5867.334470989761</v>
      </c>
      <c r="K10" s="81">
        <v>1719129</v>
      </c>
    </row>
    <row r="11" spans="1:18" s="1" customFormat="1" ht="16.5" customHeight="1">
      <c r="A11" s="63" t="s">
        <v>17</v>
      </c>
      <c r="B11" s="58">
        <v>112</v>
      </c>
      <c r="C11" s="58">
        <v>1</v>
      </c>
      <c r="D11" s="58">
        <v>22</v>
      </c>
      <c r="E11" s="58">
        <v>143</v>
      </c>
      <c r="F11" s="58" t="s">
        <v>123</v>
      </c>
      <c r="G11" s="58">
        <v>67</v>
      </c>
      <c r="H11" s="64">
        <v>38</v>
      </c>
      <c r="I11" s="58">
        <v>291</v>
      </c>
      <c r="J11" s="45">
        <f t="shared" si="1"/>
        <v>4186.6071428571431</v>
      </c>
      <c r="K11" s="81">
        <v>468900</v>
      </c>
    </row>
    <row r="12" spans="1:18" s="1" customFormat="1" ht="16.5" customHeight="1">
      <c r="A12" s="63" t="s">
        <v>15</v>
      </c>
      <c r="B12" s="58">
        <v>138</v>
      </c>
      <c r="C12" s="58">
        <v>4</v>
      </c>
      <c r="D12" s="58">
        <v>16</v>
      </c>
      <c r="E12" s="58">
        <v>374</v>
      </c>
      <c r="F12" s="58" t="s">
        <v>123</v>
      </c>
      <c r="G12" s="58">
        <v>129</v>
      </c>
      <c r="H12" s="64">
        <v>101</v>
      </c>
      <c r="I12" s="58">
        <v>620</v>
      </c>
      <c r="J12" s="45">
        <f t="shared" si="1"/>
        <v>13446.021739130434</v>
      </c>
      <c r="K12" s="81">
        <v>1855551</v>
      </c>
    </row>
    <row r="13" spans="1:18" s="1" customFormat="1" ht="16.5" customHeight="1">
      <c r="A13" s="63" t="s">
        <v>70</v>
      </c>
      <c r="B13" s="58">
        <v>359</v>
      </c>
      <c r="C13" s="58">
        <v>2</v>
      </c>
      <c r="D13" s="58">
        <v>30</v>
      </c>
      <c r="E13" s="58">
        <v>238</v>
      </c>
      <c r="F13" s="58" t="s">
        <v>123</v>
      </c>
      <c r="G13" s="58">
        <v>60</v>
      </c>
      <c r="H13" s="64">
        <v>65</v>
      </c>
      <c r="I13" s="58">
        <v>364</v>
      </c>
      <c r="J13" s="45">
        <f t="shared" si="1"/>
        <v>4349.6657381615596</v>
      </c>
      <c r="K13" s="81">
        <v>1561530</v>
      </c>
    </row>
    <row r="14" spans="1:18" s="1" customFormat="1" ht="16.5" customHeight="1">
      <c r="A14" s="63" t="s">
        <v>71</v>
      </c>
      <c r="B14" s="58">
        <v>132</v>
      </c>
      <c r="C14" s="58" t="s">
        <v>123</v>
      </c>
      <c r="D14" s="58">
        <v>21</v>
      </c>
      <c r="E14" s="58">
        <v>120</v>
      </c>
      <c r="F14" s="58" t="s">
        <v>123</v>
      </c>
      <c r="G14" s="58">
        <v>44</v>
      </c>
      <c r="H14" s="64">
        <v>66</v>
      </c>
      <c r="I14" s="58">
        <v>282</v>
      </c>
      <c r="J14" s="45">
        <f t="shared" si="1"/>
        <v>7802.280303030303</v>
      </c>
      <c r="K14" s="81">
        <v>1029901</v>
      </c>
    </row>
    <row r="15" spans="1:18" s="1" customFormat="1" ht="16.5" customHeight="1">
      <c r="A15" s="63" t="s">
        <v>6</v>
      </c>
      <c r="B15" s="58">
        <v>77</v>
      </c>
      <c r="C15" s="58" t="s">
        <v>123</v>
      </c>
      <c r="D15" s="58">
        <v>15</v>
      </c>
      <c r="E15" s="58">
        <v>72</v>
      </c>
      <c r="F15" s="58" t="s">
        <v>123</v>
      </c>
      <c r="G15" s="58">
        <v>17</v>
      </c>
      <c r="H15" s="64">
        <v>32</v>
      </c>
      <c r="I15" s="58">
        <v>123</v>
      </c>
      <c r="J15" s="45">
        <f t="shared" si="1"/>
        <v>7236.1038961038957</v>
      </c>
      <c r="K15" s="81">
        <v>557180</v>
      </c>
    </row>
    <row r="16" spans="1:18" s="1" customFormat="1" ht="16.5" customHeight="1">
      <c r="A16" s="63" t="s">
        <v>9</v>
      </c>
      <c r="B16" s="58">
        <v>214</v>
      </c>
      <c r="C16" s="58">
        <v>2</v>
      </c>
      <c r="D16" s="58">
        <v>33</v>
      </c>
      <c r="E16" s="58">
        <v>144</v>
      </c>
      <c r="F16" s="58" t="s">
        <v>123</v>
      </c>
      <c r="G16" s="58">
        <v>67</v>
      </c>
      <c r="H16" s="64">
        <v>74</v>
      </c>
      <c r="I16" s="58">
        <v>327</v>
      </c>
      <c r="J16" s="45">
        <f t="shared" si="1"/>
        <v>4933.4906542056078</v>
      </c>
      <c r="K16" s="81">
        <v>1055767</v>
      </c>
    </row>
    <row r="17" spans="1:18" s="1" customFormat="1" ht="16.5" customHeight="1">
      <c r="A17" s="63" t="s">
        <v>7</v>
      </c>
      <c r="B17" s="58">
        <v>200</v>
      </c>
      <c r="C17" s="58">
        <v>1</v>
      </c>
      <c r="D17" s="58">
        <v>24</v>
      </c>
      <c r="E17" s="58">
        <v>179</v>
      </c>
      <c r="F17" s="58" t="s">
        <v>123</v>
      </c>
      <c r="G17" s="58">
        <v>45</v>
      </c>
      <c r="H17" s="64">
        <v>51</v>
      </c>
      <c r="I17" s="58">
        <v>352</v>
      </c>
      <c r="J17" s="45">
        <f t="shared" si="1"/>
        <v>3772.3850000000002</v>
      </c>
      <c r="K17" s="81">
        <v>754477</v>
      </c>
    </row>
    <row r="18" spans="1:18" s="1" customFormat="1" ht="16.5" customHeight="1">
      <c r="A18" s="65" t="s">
        <v>92</v>
      </c>
      <c r="B18" s="58">
        <v>176</v>
      </c>
      <c r="C18" s="58">
        <v>1</v>
      </c>
      <c r="D18" s="58">
        <v>4</v>
      </c>
      <c r="E18" s="64">
        <v>149</v>
      </c>
      <c r="F18" s="64" t="s">
        <v>123</v>
      </c>
      <c r="G18" s="64">
        <v>60</v>
      </c>
      <c r="H18" s="64">
        <v>24</v>
      </c>
      <c r="I18" s="64">
        <v>270</v>
      </c>
      <c r="J18" s="45">
        <f t="shared" si="1"/>
        <v>6060.914772727273</v>
      </c>
      <c r="K18" s="81">
        <v>1066721</v>
      </c>
    </row>
    <row r="19" spans="1:18" s="1" customFormat="1" ht="16.5" customHeight="1">
      <c r="A19" s="63" t="s">
        <v>5</v>
      </c>
      <c r="B19" s="58">
        <v>230</v>
      </c>
      <c r="C19" s="58">
        <v>2</v>
      </c>
      <c r="D19" s="58">
        <v>26</v>
      </c>
      <c r="E19" s="58">
        <v>191</v>
      </c>
      <c r="F19" s="58" t="s">
        <v>123</v>
      </c>
      <c r="G19" s="58">
        <v>55</v>
      </c>
      <c r="H19" s="64">
        <v>62</v>
      </c>
      <c r="I19" s="58">
        <v>328</v>
      </c>
      <c r="J19" s="45">
        <f t="shared" si="1"/>
        <v>5201.4304347826082</v>
      </c>
      <c r="K19" s="81">
        <v>1196329</v>
      </c>
    </row>
    <row r="20" spans="1:18" s="1" customFormat="1" ht="16.5" customHeight="1">
      <c r="A20" s="63" t="s">
        <v>12</v>
      </c>
      <c r="B20" s="58">
        <v>62</v>
      </c>
      <c r="C20" s="58" t="s">
        <v>123</v>
      </c>
      <c r="D20" s="58">
        <v>12</v>
      </c>
      <c r="E20" s="58">
        <v>9</v>
      </c>
      <c r="F20" s="58" t="s">
        <v>123</v>
      </c>
      <c r="G20" s="58">
        <v>3</v>
      </c>
      <c r="H20" s="64">
        <v>52</v>
      </c>
      <c r="I20" s="58">
        <v>191</v>
      </c>
      <c r="J20" s="45">
        <f t="shared" si="1"/>
        <v>13565.403225806451</v>
      </c>
      <c r="K20" s="81">
        <v>841055</v>
      </c>
    </row>
    <row r="21" spans="1:18" s="1" customFormat="1" ht="16.5" customHeight="1">
      <c r="A21" s="65" t="s">
        <v>93</v>
      </c>
      <c r="B21" s="58">
        <v>150</v>
      </c>
      <c r="C21" s="58">
        <v>1</v>
      </c>
      <c r="D21" s="58">
        <v>6</v>
      </c>
      <c r="E21" s="64">
        <v>60</v>
      </c>
      <c r="F21" s="64" t="s">
        <v>123</v>
      </c>
      <c r="G21" s="64">
        <v>92</v>
      </c>
      <c r="H21" s="64">
        <v>28</v>
      </c>
      <c r="I21" s="64">
        <v>458</v>
      </c>
      <c r="J21" s="45">
        <f t="shared" si="1"/>
        <v>4284.2866666666669</v>
      </c>
      <c r="K21" s="81">
        <v>642643</v>
      </c>
      <c r="L21" s="20"/>
      <c r="M21" s="20"/>
      <c r="N21" s="20"/>
      <c r="O21" s="20"/>
      <c r="P21" s="20"/>
      <c r="Q21" s="20"/>
      <c r="R21" s="20"/>
    </row>
    <row r="22" spans="1:18" s="1" customFormat="1" ht="16.5" customHeight="1">
      <c r="A22" s="63" t="s">
        <v>14</v>
      </c>
      <c r="B22" s="58">
        <v>122</v>
      </c>
      <c r="C22" s="58">
        <v>1</v>
      </c>
      <c r="D22" s="58">
        <v>18</v>
      </c>
      <c r="E22" s="58">
        <v>164</v>
      </c>
      <c r="F22" s="58" t="s">
        <v>123</v>
      </c>
      <c r="G22" s="58">
        <v>83</v>
      </c>
      <c r="H22" s="64">
        <v>74</v>
      </c>
      <c r="I22" s="58">
        <v>349</v>
      </c>
      <c r="J22" s="45">
        <f t="shared" si="1"/>
        <v>8058.6803278688521</v>
      </c>
      <c r="K22" s="81">
        <v>983159</v>
      </c>
    </row>
    <row r="23" spans="1:18" s="1" customFormat="1" ht="16.5" customHeight="1">
      <c r="A23" s="63" t="s">
        <v>21</v>
      </c>
      <c r="B23" s="58">
        <v>203</v>
      </c>
      <c r="C23" s="58">
        <v>2</v>
      </c>
      <c r="D23" s="58">
        <v>30</v>
      </c>
      <c r="E23" s="58">
        <v>131</v>
      </c>
      <c r="F23" s="58" t="s">
        <v>123</v>
      </c>
      <c r="G23" s="58">
        <v>45</v>
      </c>
      <c r="H23" s="64">
        <v>44</v>
      </c>
      <c r="I23" s="58">
        <v>296</v>
      </c>
      <c r="J23" s="45">
        <f t="shared" si="1"/>
        <v>3766.8768472906404</v>
      </c>
      <c r="K23" s="81">
        <v>764676</v>
      </c>
    </row>
    <row r="24" spans="1:18" s="1" customFormat="1" ht="16.5" customHeight="1">
      <c r="A24" s="63" t="s">
        <v>10</v>
      </c>
      <c r="B24" s="58">
        <v>296</v>
      </c>
      <c r="C24" s="58">
        <v>2</v>
      </c>
      <c r="D24" s="58">
        <v>41</v>
      </c>
      <c r="E24" s="58">
        <v>150</v>
      </c>
      <c r="F24" s="58" t="s">
        <v>123</v>
      </c>
      <c r="G24" s="58">
        <v>116</v>
      </c>
      <c r="H24" s="64">
        <v>84</v>
      </c>
      <c r="I24" s="58">
        <v>459</v>
      </c>
      <c r="J24" s="45">
        <f>K24/B24</f>
        <v>5616.239864864865</v>
      </c>
      <c r="K24" s="81">
        <v>1662407</v>
      </c>
    </row>
    <row r="25" spans="1:18" s="1" customFormat="1" ht="16.5" customHeight="1">
      <c r="A25" s="63" t="s">
        <v>3</v>
      </c>
      <c r="B25" s="58">
        <v>546</v>
      </c>
      <c r="C25" s="58">
        <v>6</v>
      </c>
      <c r="D25" s="58">
        <v>66</v>
      </c>
      <c r="E25" s="58">
        <v>586</v>
      </c>
      <c r="F25" s="58" t="s">
        <v>123</v>
      </c>
      <c r="G25" s="58">
        <v>126</v>
      </c>
      <c r="H25" s="64">
        <v>92</v>
      </c>
      <c r="I25" s="58">
        <v>688</v>
      </c>
      <c r="J25" s="45">
        <f t="shared" si="1"/>
        <v>4659.7161172161168</v>
      </c>
      <c r="K25" s="81">
        <v>2544205</v>
      </c>
    </row>
    <row r="26" spans="1:18" s="1" customFormat="1" ht="16.5" customHeight="1">
      <c r="A26" s="65" t="s">
        <v>94</v>
      </c>
      <c r="B26" s="58">
        <v>91</v>
      </c>
      <c r="C26" s="58">
        <v>1</v>
      </c>
      <c r="D26" s="58">
        <v>1</v>
      </c>
      <c r="E26" s="64">
        <v>41</v>
      </c>
      <c r="F26" s="64" t="s">
        <v>123</v>
      </c>
      <c r="G26" s="64">
        <v>40</v>
      </c>
      <c r="H26" s="64">
        <v>32</v>
      </c>
      <c r="I26" s="64">
        <v>250</v>
      </c>
      <c r="J26" s="45">
        <f t="shared" si="1"/>
        <v>5467.3076923076924</v>
      </c>
      <c r="K26" s="81">
        <v>497525</v>
      </c>
    </row>
    <row r="27" spans="1:18" s="1" customFormat="1" ht="16.5" customHeight="1">
      <c r="A27" s="65" t="s">
        <v>96</v>
      </c>
      <c r="B27" s="58">
        <v>169</v>
      </c>
      <c r="C27" s="58">
        <v>1</v>
      </c>
      <c r="D27" s="58">
        <v>12</v>
      </c>
      <c r="E27" s="64">
        <v>120</v>
      </c>
      <c r="F27" s="64" t="s">
        <v>123</v>
      </c>
      <c r="G27" s="64">
        <v>293</v>
      </c>
      <c r="H27" s="64">
        <v>140</v>
      </c>
      <c r="I27" s="64">
        <v>817</v>
      </c>
      <c r="J27" s="45">
        <f t="shared" si="1"/>
        <v>3379.7159763313612</v>
      </c>
      <c r="K27" s="81">
        <v>571172</v>
      </c>
    </row>
    <row r="28" spans="1:18" s="1" customFormat="1" ht="16.5" customHeight="1">
      <c r="A28" s="63" t="s">
        <v>1</v>
      </c>
      <c r="B28" s="58">
        <v>509</v>
      </c>
      <c r="C28" s="58">
        <v>9</v>
      </c>
      <c r="D28" s="58">
        <v>44</v>
      </c>
      <c r="E28" s="58">
        <v>396</v>
      </c>
      <c r="F28" s="58">
        <v>1</v>
      </c>
      <c r="G28" s="58">
        <v>65</v>
      </c>
      <c r="H28" s="64">
        <v>61</v>
      </c>
      <c r="I28" s="58">
        <v>462</v>
      </c>
      <c r="J28" s="45">
        <f t="shared" si="1"/>
        <v>3233.8958742632612</v>
      </c>
      <c r="K28" s="81">
        <v>1646053</v>
      </c>
    </row>
    <row r="29" spans="1:18" s="1" customFormat="1" ht="16.5" customHeight="1">
      <c r="A29" s="65" t="s">
        <v>95</v>
      </c>
      <c r="B29" s="58">
        <v>134</v>
      </c>
      <c r="C29" s="58" t="s">
        <v>123</v>
      </c>
      <c r="D29" s="58">
        <v>4</v>
      </c>
      <c r="E29" s="64">
        <v>66</v>
      </c>
      <c r="F29" s="64" t="s">
        <v>123</v>
      </c>
      <c r="G29" s="64">
        <v>53</v>
      </c>
      <c r="H29" s="64">
        <v>29</v>
      </c>
      <c r="I29" s="64">
        <v>206</v>
      </c>
      <c r="J29" s="45">
        <f t="shared" si="1"/>
        <v>1930.455223880597</v>
      </c>
      <c r="K29" s="81">
        <v>258681</v>
      </c>
    </row>
    <row r="30" spans="1:18" s="20" customFormat="1" ht="16.5" customHeight="1">
      <c r="A30" s="63" t="s">
        <v>0</v>
      </c>
      <c r="B30" s="58">
        <v>1158</v>
      </c>
      <c r="C30" s="58">
        <v>26</v>
      </c>
      <c r="D30" s="58">
        <v>66</v>
      </c>
      <c r="E30" s="58">
        <v>3746</v>
      </c>
      <c r="F30" s="58" t="s">
        <v>123</v>
      </c>
      <c r="G30" s="58">
        <v>221</v>
      </c>
      <c r="H30" s="64">
        <v>131</v>
      </c>
      <c r="I30" s="58">
        <v>1953</v>
      </c>
      <c r="J30" s="45">
        <f t="shared" si="1"/>
        <v>4155.7452504317789</v>
      </c>
      <c r="K30" s="81">
        <v>4812353</v>
      </c>
      <c r="L30" s="1"/>
      <c r="M30" s="1"/>
      <c r="N30" s="1"/>
      <c r="O30" s="1"/>
      <c r="P30" s="1"/>
      <c r="Q30" s="1"/>
      <c r="R30" s="1"/>
    </row>
    <row r="31" spans="1:18" s="1" customFormat="1" ht="16.5" customHeight="1">
      <c r="A31" s="63" t="s">
        <v>19</v>
      </c>
      <c r="B31" s="58">
        <v>137</v>
      </c>
      <c r="C31" s="58">
        <v>2</v>
      </c>
      <c r="D31" s="58">
        <v>23</v>
      </c>
      <c r="E31" s="58">
        <v>131</v>
      </c>
      <c r="F31" s="58" t="s">
        <v>123</v>
      </c>
      <c r="G31" s="58">
        <v>19</v>
      </c>
      <c r="H31" s="64">
        <v>41</v>
      </c>
      <c r="I31" s="58">
        <v>225</v>
      </c>
      <c r="J31" s="45">
        <f>K31/B31</f>
        <v>5984.9708029197081</v>
      </c>
      <c r="K31" s="81">
        <v>819941</v>
      </c>
    </row>
    <row r="32" spans="1:18" s="20" customFormat="1" ht="16.5" customHeight="1">
      <c r="A32" s="65" t="s">
        <v>97</v>
      </c>
      <c r="B32" s="58">
        <v>213</v>
      </c>
      <c r="C32" s="58">
        <v>1</v>
      </c>
      <c r="D32" s="58">
        <v>3</v>
      </c>
      <c r="E32" s="64">
        <v>151</v>
      </c>
      <c r="F32" s="64" t="s">
        <v>123</v>
      </c>
      <c r="G32" s="64">
        <v>104</v>
      </c>
      <c r="H32" s="64">
        <v>32</v>
      </c>
      <c r="I32" s="64">
        <v>422</v>
      </c>
      <c r="J32" s="45">
        <f t="shared" si="1"/>
        <v>3371.868544600939</v>
      </c>
      <c r="K32" s="81">
        <v>718208</v>
      </c>
      <c r="L32" s="1"/>
      <c r="M32" s="1"/>
      <c r="N32" s="1"/>
      <c r="O32" s="1"/>
      <c r="P32" s="1"/>
      <c r="Q32" s="1"/>
      <c r="R32" s="1"/>
    </row>
    <row r="33" spans="1:11" s="1" customFormat="1" ht="16.5" customHeight="1">
      <c r="A33" s="63" t="s">
        <v>4</v>
      </c>
      <c r="B33" s="58">
        <v>255</v>
      </c>
      <c r="C33" s="58">
        <v>2</v>
      </c>
      <c r="D33" s="58">
        <v>31</v>
      </c>
      <c r="E33" s="58">
        <v>261</v>
      </c>
      <c r="F33" s="58" t="s">
        <v>123</v>
      </c>
      <c r="G33" s="58">
        <v>29</v>
      </c>
      <c r="H33" s="64">
        <v>72</v>
      </c>
      <c r="I33" s="58">
        <v>365</v>
      </c>
      <c r="J33" s="45">
        <f t="shared" si="1"/>
        <v>6806.0470588235294</v>
      </c>
      <c r="K33" s="81">
        <v>1735542</v>
      </c>
    </row>
    <row r="34" spans="1:11" s="1" customFormat="1" ht="16.5" customHeight="1">
      <c r="A34" s="63" t="s">
        <v>18</v>
      </c>
      <c r="B34" s="58">
        <v>482</v>
      </c>
      <c r="C34" s="58">
        <v>4</v>
      </c>
      <c r="D34" s="58">
        <v>32</v>
      </c>
      <c r="E34" s="58">
        <v>646</v>
      </c>
      <c r="F34" s="58" t="s">
        <v>123</v>
      </c>
      <c r="G34" s="58">
        <v>77</v>
      </c>
      <c r="H34" s="64">
        <v>87</v>
      </c>
      <c r="I34" s="58">
        <v>354</v>
      </c>
      <c r="J34" s="45">
        <f t="shared" si="1"/>
        <v>5204.1390041493778</v>
      </c>
      <c r="K34" s="81">
        <v>2508395</v>
      </c>
    </row>
    <row r="35" spans="1:11" s="1" customFormat="1" ht="16.5" customHeight="1">
      <c r="A35" s="63" t="s">
        <v>16</v>
      </c>
      <c r="B35" s="58">
        <v>67</v>
      </c>
      <c r="C35" s="58" t="s">
        <v>123</v>
      </c>
      <c r="D35" s="58">
        <v>14</v>
      </c>
      <c r="E35" s="58">
        <v>48</v>
      </c>
      <c r="F35" s="58" t="s">
        <v>123</v>
      </c>
      <c r="G35" s="58">
        <v>84</v>
      </c>
      <c r="H35" s="64">
        <v>54</v>
      </c>
      <c r="I35" s="58">
        <v>221</v>
      </c>
      <c r="J35" s="45">
        <f t="shared" si="1"/>
        <v>6803.3880597014922</v>
      </c>
      <c r="K35" s="81">
        <v>455827</v>
      </c>
    </row>
    <row r="36" spans="1:11" s="1" customFormat="1" ht="16.5" customHeight="1">
      <c r="A36" s="63" t="s">
        <v>73</v>
      </c>
      <c r="B36" s="58">
        <v>8</v>
      </c>
      <c r="C36" s="58" t="s">
        <v>123</v>
      </c>
      <c r="D36" s="58" t="s">
        <v>123</v>
      </c>
      <c r="E36" s="58" t="s">
        <v>123</v>
      </c>
      <c r="F36" s="58" t="s">
        <v>123</v>
      </c>
      <c r="G36" s="58">
        <v>8</v>
      </c>
      <c r="H36" s="64">
        <v>19</v>
      </c>
      <c r="I36" s="58">
        <v>66</v>
      </c>
      <c r="J36" s="45">
        <f t="shared" si="1"/>
        <v>23452.5</v>
      </c>
      <c r="K36" s="81">
        <v>187620</v>
      </c>
    </row>
    <row r="37" spans="1:11" ht="12.95" customHeight="1">
      <c r="A37" s="66" t="s">
        <v>116</v>
      </c>
      <c r="B37" s="67"/>
      <c r="C37" s="125" t="s">
        <v>144</v>
      </c>
      <c r="D37" s="124" t="s">
        <v>145</v>
      </c>
      <c r="E37" s="67"/>
      <c r="F37" s="67"/>
      <c r="G37" s="67"/>
      <c r="H37" s="68"/>
      <c r="J37" s="27"/>
      <c r="K37" s="12"/>
    </row>
    <row r="38" spans="1:11" ht="12.95" customHeight="1">
      <c r="A38" s="66"/>
      <c r="B38" s="67"/>
      <c r="C38" s="2"/>
      <c r="D38" s="23" t="s">
        <v>146</v>
      </c>
      <c r="E38" s="23"/>
      <c r="F38" s="69"/>
      <c r="G38" s="69"/>
      <c r="H38" s="69"/>
      <c r="K38" s="12"/>
    </row>
    <row r="39" spans="1:11">
      <c r="A39" s="59"/>
      <c r="E39" s="71"/>
    </row>
  </sheetData>
  <mergeCells count="1">
    <mergeCell ref="A1:J1"/>
  </mergeCells>
  <printOptions horizontalCentered="1"/>
  <pageMargins left="0.75" right="0.75" top="0.98425196850393704" bottom="0.98425196850393704" header="0.511811023622047" footer="0.511811023622047"/>
  <pageSetup paperSize="9" firstPageNumber="16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6"/>
  <sheetViews>
    <sheetView view="pageBreakPreview" zoomScaleSheetLayoutView="100" workbookViewId="0">
      <selection activeCell="A2" sqref="A2"/>
    </sheetView>
  </sheetViews>
  <sheetFormatPr defaultRowHeight="12.75"/>
  <cols>
    <col min="1" max="1" width="6.5703125" customWidth="1"/>
    <col min="2" max="2" width="42.7109375" customWidth="1"/>
    <col min="3" max="3" width="7.85546875" customWidth="1"/>
    <col min="4" max="4" width="11.85546875" customWidth="1"/>
    <col min="5" max="5" width="9.5703125" customWidth="1"/>
    <col min="6" max="8" width="7.85546875" customWidth="1"/>
    <col min="9" max="9" width="13.140625" customWidth="1"/>
    <col min="10" max="10" width="11.140625" customWidth="1"/>
  </cols>
  <sheetData>
    <row r="1" spans="1:18" ht="60" customHeight="1">
      <c r="A1" s="162" t="s">
        <v>147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" s="2" customFormat="1" ht="12.95" customHeight="1">
      <c r="A2" s="21" t="s">
        <v>85</v>
      </c>
      <c r="D2" s="163" t="s">
        <v>106</v>
      </c>
      <c r="E2" s="163"/>
      <c r="F2" s="163"/>
      <c r="I2" s="164" t="s">
        <v>51</v>
      </c>
      <c r="J2" s="164"/>
    </row>
    <row r="3" spans="1:18" ht="38.25">
      <c r="A3" s="60" t="s">
        <v>128</v>
      </c>
      <c r="B3" s="60" t="s">
        <v>117</v>
      </c>
      <c r="C3" s="60" t="s">
        <v>110</v>
      </c>
      <c r="D3" s="60" t="s">
        <v>111</v>
      </c>
      <c r="E3" s="60" t="s">
        <v>112</v>
      </c>
      <c r="F3" s="60" t="s">
        <v>113</v>
      </c>
      <c r="G3" s="60" t="s">
        <v>126</v>
      </c>
      <c r="H3" s="60" t="s">
        <v>127</v>
      </c>
      <c r="I3" s="61" t="s">
        <v>115</v>
      </c>
      <c r="J3" s="60" t="s">
        <v>52</v>
      </c>
    </row>
    <row r="4" spans="1:18" ht="21.95" customHeight="1">
      <c r="A4" s="91"/>
      <c r="B4" s="62" t="s">
        <v>56</v>
      </c>
      <c r="C4" s="48">
        <f t="shared" ref="C4:J4" si="0">SUM(C5:C13)</f>
        <v>1470</v>
      </c>
      <c r="D4" s="48">
        <f t="shared" si="0"/>
        <v>24</v>
      </c>
      <c r="E4" s="48">
        <f t="shared" si="0"/>
        <v>55</v>
      </c>
      <c r="F4" s="48">
        <f t="shared" si="0"/>
        <v>2764</v>
      </c>
      <c r="G4" s="48">
        <f t="shared" si="0"/>
        <v>1</v>
      </c>
      <c r="H4" s="48">
        <f t="shared" si="0"/>
        <v>268</v>
      </c>
      <c r="I4" s="48">
        <f t="shared" si="0"/>
        <v>13</v>
      </c>
      <c r="J4" s="48">
        <f t="shared" si="0"/>
        <v>2230</v>
      </c>
    </row>
    <row r="5" spans="1:18" ht="21.95" customHeight="1">
      <c r="A5" s="91">
        <v>1</v>
      </c>
      <c r="B5" s="63" t="s">
        <v>118</v>
      </c>
      <c r="C5" s="58">
        <v>135</v>
      </c>
      <c r="D5" s="58">
        <v>4</v>
      </c>
      <c r="E5" s="58">
        <v>3</v>
      </c>
      <c r="F5" s="58">
        <v>339</v>
      </c>
      <c r="G5" s="58" t="s">
        <v>123</v>
      </c>
      <c r="H5" s="58">
        <v>50</v>
      </c>
      <c r="I5" s="64" t="s">
        <v>123</v>
      </c>
      <c r="J5" s="58">
        <v>400</v>
      </c>
    </row>
    <row r="6" spans="1:18" ht="21.95" customHeight="1">
      <c r="A6" s="91">
        <v>2</v>
      </c>
      <c r="B6" s="65" t="s">
        <v>119</v>
      </c>
      <c r="C6" s="58">
        <v>53</v>
      </c>
      <c r="D6" s="58" t="s">
        <v>123</v>
      </c>
      <c r="E6" s="58" t="s">
        <v>123</v>
      </c>
      <c r="F6" s="64">
        <v>159</v>
      </c>
      <c r="G6" s="64" t="s">
        <v>123</v>
      </c>
      <c r="H6" s="64">
        <v>3</v>
      </c>
      <c r="I6" s="64" t="s">
        <v>123</v>
      </c>
      <c r="J6" s="64">
        <v>72</v>
      </c>
      <c r="K6" s="2"/>
      <c r="L6" s="2"/>
      <c r="M6" s="2"/>
      <c r="N6" s="2"/>
      <c r="O6" s="2"/>
      <c r="P6" s="2"/>
      <c r="Q6" s="2"/>
      <c r="R6" s="2"/>
    </row>
    <row r="7" spans="1:18" ht="21.95" customHeight="1">
      <c r="A7" s="91">
        <v>3</v>
      </c>
      <c r="B7" s="63" t="s">
        <v>129</v>
      </c>
      <c r="C7" s="58">
        <v>175</v>
      </c>
      <c r="D7" s="58">
        <v>8</v>
      </c>
      <c r="E7" s="58" t="s">
        <v>123</v>
      </c>
      <c r="F7" s="58">
        <v>972</v>
      </c>
      <c r="G7" s="58" t="s">
        <v>123</v>
      </c>
      <c r="H7" s="58">
        <v>50</v>
      </c>
      <c r="I7" s="64" t="s">
        <v>123</v>
      </c>
      <c r="J7" s="58">
        <v>540</v>
      </c>
    </row>
    <row r="8" spans="1:18" ht="21.95" customHeight="1">
      <c r="A8" s="91">
        <v>4</v>
      </c>
      <c r="B8" s="63" t="s">
        <v>120</v>
      </c>
      <c r="C8" s="58">
        <v>334</v>
      </c>
      <c r="D8" s="58">
        <v>1</v>
      </c>
      <c r="E8" s="58">
        <v>5</v>
      </c>
      <c r="F8" s="58">
        <v>385</v>
      </c>
      <c r="G8" s="58" t="s">
        <v>123</v>
      </c>
      <c r="H8" s="58">
        <v>24</v>
      </c>
      <c r="I8" s="64">
        <v>2</v>
      </c>
      <c r="J8" s="58">
        <v>320</v>
      </c>
    </row>
    <row r="9" spans="1:18" ht="21.95" customHeight="1">
      <c r="A9" s="91">
        <v>5</v>
      </c>
      <c r="B9" s="63" t="s">
        <v>121</v>
      </c>
      <c r="C9" s="58">
        <v>165</v>
      </c>
      <c r="D9" s="58" t="s">
        <v>123</v>
      </c>
      <c r="E9" s="58">
        <v>5</v>
      </c>
      <c r="F9" s="58">
        <v>417</v>
      </c>
      <c r="G9" s="58" t="s">
        <v>123</v>
      </c>
      <c r="H9" s="58">
        <v>40</v>
      </c>
      <c r="I9" s="64">
        <v>2</v>
      </c>
      <c r="J9" s="58">
        <v>307</v>
      </c>
    </row>
    <row r="10" spans="1:18" ht="21.95" customHeight="1">
      <c r="A10" s="91">
        <v>6</v>
      </c>
      <c r="B10" s="63" t="s">
        <v>122</v>
      </c>
      <c r="C10" s="58">
        <v>250</v>
      </c>
      <c r="D10" s="58">
        <v>2</v>
      </c>
      <c r="E10" s="58">
        <v>33</v>
      </c>
      <c r="F10" s="58">
        <v>210</v>
      </c>
      <c r="G10" s="58" t="s">
        <v>123</v>
      </c>
      <c r="H10" s="58">
        <v>34</v>
      </c>
      <c r="I10" s="58">
        <v>1</v>
      </c>
      <c r="J10" s="58">
        <v>230</v>
      </c>
    </row>
    <row r="11" spans="1:18" ht="21.95" customHeight="1">
      <c r="A11" s="91">
        <v>7</v>
      </c>
      <c r="B11" s="63" t="s">
        <v>130</v>
      </c>
      <c r="C11" s="58">
        <v>198</v>
      </c>
      <c r="D11" s="58">
        <v>7</v>
      </c>
      <c r="E11" s="58">
        <v>6</v>
      </c>
      <c r="F11" s="58">
        <v>142</v>
      </c>
      <c r="G11" s="58">
        <v>1</v>
      </c>
      <c r="H11" s="58">
        <v>5</v>
      </c>
      <c r="I11" s="64">
        <v>5</v>
      </c>
      <c r="J11" s="58">
        <v>148</v>
      </c>
    </row>
    <row r="12" spans="1:18" ht="21.95" customHeight="1">
      <c r="A12" s="91">
        <v>8</v>
      </c>
      <c r="B12" s="63" t="s">
        <v>124</v>
      </c>
      <c r="C12" s="58">
        <v>39</v>
      </c>
      <c r="D12" s="58" t="s">
        <v>123</v>
      </c>
      <c r="E12" s="58" t="s">
        <v>123</v>
      </c>
      <c r="F12" s="58">
        <v>90</v>
      </c>
      <c r="G12" s="58" t="s">
        <v>123</v>
      </c>
      <c r="H12" s="58">
        <v>13</v>
      </c>
      <c r="I12" s="64">
        <v>3</v>
      </c>
      <c r="J12" s="58">
        <v>101</v>
      </c>
    </row>
    <row r="13" spans="1:18" ht="21.95" customHeight="1">
      <c r="A13" s="91">
        <v>9</v>
      </c>
      <c r="B13" s="63" t="s">
        <v>131</v>
      </c>
      <c r="C13" s="58">
        <v>121</v>
      </c>
      <c r="D13" s="58">
        <v>2</v>
      </c>
      <c r="E13" s="58">
        <v>3</v>
      </c>
      <c r="F13" s="58">
        <v>50</v>
      </c>
      <c r="G13" s="58" t="s">
        <v>123</v>
      </c>
      <c r="H13" s="58">
        <v>49</v>
      </c>
      <c r="I13" s="64" t="s">
        <v>123</v>
      </c>
      <c r="J13" s="58">
        <v>112</v>
      </c>
    </row>
    <row r="14" spans="1:18" ht="13.5" customHeight="1">
      <c r="A14" s="92"/>
      <c r="B14" s="66"/>
      <c r="C14" s="67"/>
      <c r="D14" s="67"/>
      <c r="E14" s="67"/>
      <c r="F14" s="67"/>
      <c r="G14" s="67"/>
      <c r="H14" s="67"/>
      <c r="I14" s="68"/>
    </row>
    <row r="15" spans="1:18" ht="10.5" customHeight="1">
      <c r="A15" s="92"/>
      <c r="B15" s="66"/>
      <c r="C15" s="67"/>
      <c r="D15" s="3"/>
      <c r="G15" s="69"/>
      <c r="H15" s="69"/>
      <c r="I15" s="69"/>
      <c r="J15" s="70" t="s">
        <v>132</v>
      </c>
    </row>
    <row r="16" spans="1:18">
      <c r="A16" s="59"/>
      <c r="E16" s="71"/>
    </row>
  </sheetData>
  <mergeCells count="3">
    <mergeCell ref="A1:J1"/>
    <mergeCell ref="D2:F2"/>
    <mergeCell ref="I2:J2"/>
  </mergeCells>
  <printOptions horizontalCentered="1"/>
  <pageMargins left="0.84" right="0.66929133858267698" top="0.98425196850393704" bottom="0.98425196850393704" header="0.511811023622047" footer="0.511811023622047"/>
  <pageSetup paperSize="9" firstPageNumber="160" orientation="landscape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38"/>
  <sheetViews>
    <sheetView view="pageBreakPreview" zoomScaleSheetLayoutView="100" workbookViewId="0">
      <selection activeCell="C21" sqref="C21"/>
    </sheetView>
  </sheetViews>
  <sheetFormatPr defaultRowHeight="12.75"/>
  <cols>
    <col min="1" max="1" width="20.42578125" style="41" customWidth="1"/>
    <col min="2" max="4" width="19.7109375" style="41" customWidth="1"/>
    <col min="5" max="16384" width="9.140625" style="41"/>
  </cols>
  <sheetData>
    <row r="1" spans="1:4" s="30" customFormat="1" ht="60" customHeight="1">
      <c r="A1" s="165" t="s">
        <v>148</v>
      </c>
      <c r="B1" s="165"/>
      <c r="C1" s="165"/>
      <c r="D1" s="165"/>
    </row>
    <row r="2" spans="1:4" s="25" customFormat="1" ht="12.95" customHeight="1">
      <c r="A2" s="23" t="s">
        <v>86</v>
      </c>
      <c r="B2" s="166"/>
      <c r="C2" s="166"/>
      <c r="D2" s="24" t="s">
        <v>51</v>
      </c>
    </row>
    <row r="3" spans="1:4" ht="20.100000000000001" customHeight="1">
      <c r="A3" s="93" t="s">
        <v>28</v>
      </c>
      <c r="B3" s="93" t="s">
        <v>31</v>
      </c>
      <c r="C3" s="93" t="s">
        <v>29</v>
      </c>
      <c r="D3" s="93" t="s">
        <v>30</v>
      </c>
    </row>
    <row r="4" spans="1:4" ht="20.100000000000001" customHeight="1">
      <c r="A4" s="94" t="s">
        <v>56</v>
      </c>
      <c r="B4" s="53">
        <f t="shared" ref="B4" si="0">SUM(C4:D4)</f>
        <v>4659</v>
      </c>
      <c r="C4" s="53">
        <f>SUM(C5:C36)</f>
        <v>4118</v>
      </c>
      <c r="D4" s="53">
        <f>SUM(D5:D36)</f>
        <v>541</v>
      </c>
    </row>
    <row r="5" spans="1:4" ht="18" customHeight="1">
      <c r="A5" s="83" t="s">
        <v>8</v>
      </c>
      <c r="B5" s="55">
        <f t="shared" ref="B5:B36" si="1">SUM(C5:D5)</f>
        <v>432</v>
      </c>
      <c r="C5" s="55">
        <v>351</v>
      </c>
      <c r="D5" s="55">
        <v>81</v>
      </c>
    </row>
    <row r="6" spans="1:4" ht="18" customHeight="1">
      <c r="A6" s="84" t="s">
        <v>91</v>
      </c>
      <c r="B6" s="55">
        <f t="shared" si="1"/>
        <v>12</v>
      </c>
      <c r="C6" s="45">
        <v>12</v>
      </c>
      <c r="D6" s="45" t="s">
        <v>123</v>
      </c>
    </row>
    <row r="7" spans="1:4" ht="18" customHeight="1">
      <c r="A7" s="83" t="s">
        <v>13</v>
      </c>
      <c r="B7" s="55">
        <f t="shared" si="1"/>
        <v>160</v>
      </c>
      <c r="C7" s="55">
        <v>146</v>
      </c>
      <c r="D7" s="55">
        <v>14</v>
      </c>
    </row>
    <row r="8" spans="1:4" ht="18" customHeight="1">
      <c r="A8" s="83" t="s">
        <v>11</v>
      </c>
      <c r="B8" s="55">
        <f t="shared" si="1"/>
        <v>38</v>
      </c>
      <c r="C8" s="55">
        <v>32</v>
      </c>
      <c r="D8" s="55">
        <v>6</v>
      </c>
    </row>
    <row r="9" spans="1:4" ht="18" customHeight="1">
      <c r="A9" s="83" t="s">
        <v>20</v>
      </c>
      <c r="B9" s="55">
        <f t="shared" si="1"/>
        <v>173</v>
      </c>
      <c r="C9" s="55">
        <v>164</v>
      </c>
      <c r="D9" s="55">
        <v>9</v>
      </c>
    </row>
    <row r="10" spans="1:4" ht="18" customHeight="1">
      <c r="A10" s="83" t="s">
        <v>2</v>
      </c>
      <c r="B10" s="55">
        <f t="shared" si="1"/>
        <v>171</v>
      </c>
      <c r="C10" s="55">
        <v>146</v>
      </c>
      <c r="D10" s="55">
        <v>25</v>
      </c>
    </row>
    <row r="11" spans="1:4" ht="18" customHeight="1">
      <c r="A11" s="83" t="s">
        <v>17</v>
      </c>
      <c r="B11" s="55">
        <f t="shared" si="1"/>
        <v>16</v>
      </c>
      <c r="C11" s="55">
        <v>14</v>
      </c>
      <c r="D11" s="55">
        <v>2</v>
      </c>
    </row>
    <row r="12" spans="1:4" ht="18" customHeight="1">
      <c r="A12" s="83" t="s">
        <v>69</v>
      </c>
      <c r="B12" s="55">
        <f t="shared" si="1"/>
        <v>118</v>
      </c>
      <c r="C12" s="55">
        <v>107</v>
      </c>
      <c r="D12" s="55">
        <v>11</v>
      </c>
    </row>
    <row r="13" spans="1:4" ht="18" customHeight="1">
      <c r="A13" s="83" t="s">
        <v>70</v>
      </c>
      <c r="B13" s="55">
        <f t="shared" si="1"/>
        <v>187</v>
      </c>
      <c r="C13" s="55">
        <v>172</v>
      </c>
      <c r="D13" s="55">
        <v>15</v>
      </c>
    </row>
    <row r="14" spans="1:4" ht="18" customHeight="1">
      <c r="A14" s="83" t="s">
        <v>71</v>
      </c>
      <c r="B14" s="55">
        <f t="shared" si="1"/>
        <v>40</v>
      </c>
      <c r="C14" s="55">
        <v>37</v>
      </c>
      <c r="D14" s="55">
        <v>3</v>
      </c>
    </row>
    <row r="15" spans="1:4" ht="18" customHeight="1">
      <c r="A15" s="83" t="s">
        <v>6</v>
      </c>
      <c r="B15" s="55">
        <f t="shared" si="1"/>
        <v>25</v>
      </c>
      <c r="C15" s="55">
        <v>23</v>
      </c>
      <c r="D15" s="55">
        <v>2</v>
      </c>
    </row>
    <row r="16" spans="1:4" ht="18" customHeight="1">
      <c r="A16" s="83" t="s">
        <v>9</v>
      </c>
      <c r="B16" s="55">
        <f t="shared" si="1"/>
        <v>253</v>
      </c>
      <c r="C16" s="55">
        <v>221</v>
      </c>
      <c r="D16" s="55">
        <v>32</v>
      </c>
    </row>
    <row r="17" spans="1:4" ht="18" customHeight="1">
      <c r="A17" s="83" t="s">
        <v>7</v>
      </c>
      <c r="B17" s="55">
        <f t="shared" si="1"/>
        <v>36</v>
      </c>
      <c r="C17" s="55">
        <v>31</v>
      </c>
      <c r="D17" s="55">
        <v>5</v>
      </c>
    </row>
    <row r="18" spans="1:4" ht="18" customHeight="1">
      <c r="A18" s="84" t="s">
        <v>92</v>
      </c>
      <c r="B18" s="55">
        <f t="shared" si="1"/>
        <v>23</v>
      </c>
      <c r="C18" s="45">
        <v>23</v>
      </c>
      <c r="D18" s="45" t="s">
        <v>123</v>
      </c>
    </row>
    <row r="19" spans="1:4" ht="18" customHeight="1">
      <c r="A19" s="83" t="s">
        <v>5</v>
      </c>
      <c r="B19" s="55">
        <f t="shared" si="1"/>
        <v>78</v>
      </c>
      <c r="C19" s="55">
        <v>66</v>
      </c>
      <c r="D19" s="55">
        <v>12</v>
      </c>
    </row>
    <row r="20" spans="1:4" ht="18" customHeight="1">
      <c r="A20" s="83" t="s">
        <v>12</v>
      </c>
      <c r="B20" s="55">
        <f t="shared" si="1"/>
        <v>6</v>
      </c>
      <c r="C20" s="55">
        <v>5</v>
      </c>
      <c r="D20" s="55">
        <v>1</v>
      </c>
    </row>
    <row r="21" spans="1:4" ht="18" customHeight="1">
      <c r="A21" s="84" t="s">
        <v>93</v>
      </c>
      <c r="B21" s="55">
        <f t="shared" si="1"/>
        <v>1</v>
      </c>
      <c r="C21" s="45">
        <v>1</v>
      </c>
      <c r="D21" s="45" t="s">
        <v>123</v>
      </c>
    </row>
    <row r="22" spans="1:4" ht="18" customHeight="1">
      <c r="A22" s="83" t="s">
        <v>72</v>
      </c>
      <c r="B22" s="55">
        <f t="shared" si="1"/>
        <v>35</v>
      </c>
      <c r="C22" s="55">
        <v>34</v>
      </c>
      <c r="D22" s="55">
        <v>1</v>
      </c>
    </row>
    <row r="23" spans="1:4" ht="18" customHeight="1">
      <c r="A23" s="83" t="s">
        <v>21</v>
      </c>
      <c r="B23" s="55">
        <f t="shared" si="1"/>
        <v>116</v>
      </c>
      <c r="C23" s="55">
        <v>99</v>
      </c>
      <c r="D23" s="55">
        <v>17</v>
      </c>
    </row>
    <row r="24" spans="1:4" ht="18" customHeight="1">
      <c r="A24" s="83" t="s">
        <v>10</v>
      </c>
      <c r="B24" s="55">
        <f t="shared" si="1"/>
        <v>284</v>
      </c>
      <c r="C24" s="55">
        <v>248</v>
      </c>
      <c r="D24" s="55">
        <v>36</v>
      </c>
    </row>
    <row r="25" spans="1:4" ht="18" customHeight="1">
      <c r="A25" s="83" t="s">
        <v>3</v>
      </c>
      <c r="B25" s="55">
        <f t="shared" si="1"/>
        <v>336</v>
      </c>
      <c r="C25" s="55">
        <v>287</v>
      </c>
      <c r="D25" s="55">
        <v>49</v>
      </c>
    </row>
    <row r="26" spans="1:4" ht="18" customHeight="1">
      <c r="A26" s="84" t="s">
        <v>94</v>
      </c>
      <c r="B26" s="55">
        <f t="shared" si="1"/>
        <v>0</v>
      </c>
      <c r="C26" s="64" t="s">
        <v>123</v>
      </c>
      <c r="D26" s="45" t="s">
        <v>123</v>
      </c>
    </row>
    <row r="27" spans="1:4" ht="18" customHeight="1">
      <c r="A27" s="84" t="s">
        <v>96</v>
      </c>
      <c r="B27" s="55">
        <f t="shared" si="1"/>
        <v>0</v>
      </c>
      <c r="C27" s="64" t="s">
        <v>123</v>
      </c>
      <c r="D27" s="45" t="s">
        <v>123</v>
      </c>
    </row>
    <row r="28" spans="1:4" ht="18" customHeight="1">
      <c r="A28" s="83" t="s">
        <v>1</v>
      </c>
      <c r="B28" s="55">
        <f t="shared" si="1"/>
        <v>189</v>
      </c>
      <c r="C28" s="55">
        <v>165</v>
      </c>
      <c r="D28" s="55">
        <v>24</v>
      </c>
    </row>
    <row r="29" spans="1:4" ht="18" customHeight="1">
      <c r="A29" s="84" t="s">
        <v>95</v>
      </c>
      <c r="B29" s="55">
        <f t="shared" si="1"/>
        <v>0</v>
      </c>
      <c r="C29" s="45" t="s">
        <v>123</v>
      </c>
      <c r="D29" s="45" t="s">
        <v>123</v>
      </c>
    </row>
    <row r="30" spans="1:4" s="25" customFormat="1" ht="18" customHeight="1">
      <c r="A30" s="80" t="s">
        <v>0</v>
      </c>
      <c r="B30" s="55">
        <f t="shared" si="1"/>
        <v>1052</v>
      </c>
      <c r="C30" s="55">
        <v>922</v>
      </c>
      <c r="D30" s="55">
        <v>130</v>
      </c>
    </row>
    <row r="31" spans="1:4" ht="18" customHeight="1">
      <c r="A31" s="80" t="s">
        <v>19</v>
      </c>
      <c r="B31" s="55">
        <f>SUM(C31:D31)</f>
        <v>52</v>
      </c>
      <c r="C31" s="55">
        <v>48</v>
      </c>
      <c r="D31" s="55">
        <v>4</v>
      </c>
    </row>
    <row r="32" spans="1:4" s="25" customFormat="1" ht="18" customHeight="1">
      <c r="A32" s="63" t="s">
        <v>97</v>
      </c>
      <c r="B32" s="55">
        <f t="shared" si="1"/>
        <v>0</v>
      </c>
      <c r="C32" s="64" t="s">
        <v>123</v>
      </c>
      <c r="D32" s="45" t="s">
        <v>123</v>
      </c>
    </row>
    <row r="33" spans="1:4" ht="18" customHeight="1">
      <c r="A33" s="80" t="s">
        <v>4</v>
      </c>
      <c r="B33" s="55">
        <f t="shared" si="1"/>
        <v>279</v>
      </c>
      <c r="C33" s="55">
        <v>263</v>
      </c>
      <c r="D33" s="55">
        <v>16</v>
      </c>
    </row>
    <row r="34" spans="1:4" ht="18" customHeight="1">
      <c r="A34" s="80" t="s">
        <v>18</v>
      </c>
      <c r="B34" s="55">
        <f t="shared" si="1"/>
        <v>547</v>
      </c>
      <c r="C34" s="55">
        <v>501</v>
      </c>
      <c r="D34" s="55">
        <v>46</v>
      </c>
    </row>
    <row r="35" spans="1:4" ht="18" customHeight="1">
      <c r="A35" s="80" t="s">
        <v>16</v>
      </c>
      <c r="B35" s="55">
        <f t="shared" si="1"/>
        <v>0</v>
      </c>
      <c r="C35" s="55" t="s">
        <v>123</v>
      </c>
      <c r="D35" s="55" t="s">
        <v>123</v>
      </c>
    </row>
    <row r="36" spans="1:4" ht="18" customHeight="1">
      <c r="A36" s="80" t="s">
        <v>73</v>
      </c>
      <c r="B36" s="55">
        <f t="shared" si="1"/>
        <v>0</v>
      </c>
      <c r="C36" s="55" t="s">
        <v>123</v>
      </c>
      <c r="D36" s="55" t="s">
        <v>123</v>
      </c>
    </row>
    <row r="37" spans="1:4" s="25" customFormat="1" ht="12.95" customHeight="1">
      <c r="A37" s="23"/>
      <c r="B37" s="23"/>
      <c r="C37" s="23"/>
      <c r="D37" s="23"/>
    </row>
    <row r="38" spans="1:4" s="25" customFormat="1" ht="12.95" customHeight="1">
      <c r="A38" s="23"/>
      <c r="B38" s="23"/>
      <c r="C38" s="23"/>
      <c r="D38" s="27" t="s">
        <v>149</v>
      </c>
    </row>
  </sheetData>
  <sortState ref="A5:D36">
    <sortCondition ref="A5:A36"/>
  </sortState>
  <mergeCells count="2">
    <mergeCell ref="A1:D1"/>
    <mergeCell ref="B2:C2"/>
  </mergeCells>
  <phoneticPr fontId="0" type="noConversion"/>
  <printOptions horizontalCentered="1"/>
  <pageMargins left="0.75" right="0.75" top="1" bottom="1" header="0.5" footer="0.5"/>
  <pageSetup paperSize="9" orientation="portrait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0"/>
  <sheetViews>
    <sheetView tabSelected="1" view="pageBreakPreview" zoomScaleSheetLayoutView="100" workbookViewId="0">
      <selection activeCell="E1" sqref="E1:H1"/>
    </sheetView>
  </sheetViews>
  <sheetFormatPr defaultRowHeight="12.75"/>
  <cols>
    <col min="1" max="1" width="20.28515625" style="41" customWidth="1"/>
    <col min="2" max="4" width="16.7109375" style="41" customWidth="1"/>
    <col min="5" max="5" width="20.5703125" style="41" customWidth="1"/>
    <col min="6" max="8" width="18.7109375" style="41" customWidth="1"/>
    <col min="9" max="16384" width="9.140625" style="41"/>
  </cols>
  <sheetData>
    <row r="1" spans="1:12" s="30" customFormat="1" ht="60" customHeight="1">
      <c r="A1" s="165" t="s">
        <v>107</v>
      </c>
      <c r="B1" s="165"/>
      <c r="C1" s="165"/>
      <c r="D1" s="165"/>
      <c r="E1" s="165" t="s">
        <v>165</v>
      </c>
      <c r="F1" s="165"/>
      <c r="G1" s="165"/>
      <c r="H1" s="165"/>
    </row>
    <row r="2" spans="1:12" s="25" customFormat="1" ht="12.95" customHeight="1">
      <c r="A2" s="23" t="s">
        <v>99</v>
      </c>
      <c r="B2" s="23"/>
      <c r="C2" s="23"/>
      <c r="D2" s="23"/>
      <c r="E2" s="23" t="s">
        <v>100</v>
      </c>
      <c r="F2" s="23"/>
      <c r="G2" s="23"/>
      <c r="H2" s="27" t="s">
        <v>51</v>
      </c>
    </row>
    <row r="3" spans="1:12" s="39" customFormat="1" ht="26.1" customHeight="1">
      <c r="A3" s="47" t="s">
        <v>28</v>
      </c>
      <c r="B3" s="31" t="s">
        <v>32</v>
      </c>
      <c r="C3" s="31" t="s">
        <v>33</v>
      </c>
      <c r="D3" s="31" t="s">
        <v>34</v>
      </c>
      <c r="E3" s="47" t="s">
        <v>28</v>
      </c>
      <c r="F3" s="47" t="s">
        <v>31</v>
      </c>
      <c r="G3" s="47" t="s">
        <v>35</v>
      </c>
      <c r="H3" s="47" t="s">
        <v>61</v>
      </c>
    </row>
    <row r="4" spans="1:12" s="39" customFormat="1" ht="17.45" customHeight="1">
      <c r="A4" s="94" t="s">
        <v>56</v>
      </c>
      <c r="B4" s="52">
        <f>SUM(B5:B36)</f>
        <v>1309318</v>
      </c>
      <c r="C4" s="52">
        <f>SUM(C5:C36)</f>
        <v>82338</v>
      </c>
      <c r="D4" s="52">
        <f>SUM(D5:D36)</f>
        <v>82338</v>
      </c>
      <c r="E4" s="94" t="s">
        <v>56</v>
      </c>
      <c r="F4" s="52">
        <f t="shared" ref="F4" si="0">SUM(G4+H4)</f>
        <v>29833126</v>
      </c>
      <c r="G4" s="53">
        <f>SUM(G5:G36)</f>
        <v>691297</v>
      </c>
      <c r="H4" s="53">
        <f>SUM(H5:H36)</f>
        <v>29141829</v>
      </c>
    </row>
    <row r="5" spans="1:12" s="39" customFormat="1" ht="17.45" customHeight="1">
      <c r="A5" s="63" t="s">
        <v>8</v>
      </c>
      <c r="B5" s="95">
        <v>894</v>
      </c>
      <c r="C5" s="95">
        <v>1</v>
      </c>
      <c r="D5" s="95">
        <v>1</v>
      </c>
      <c r="E5" s="63" t="s">
        <v>8</v>
      </c>
      <c r="F5" s="54">
        <f t="shared" ref="F5:F35" si="1">SUM(G5+H5)</f>
        <v>1390606</v>
      </c>
      <c r="G5" s="55">
        <v>23902</v>
      </c>
      <c r="H5" s="55">
        <v>1366704</v>
      </c>
    </row>
    <row r="6" spans="1:12" s="39" customFormat="1" ht="17.45" customHeight="1">
      <c r="A6" s="63" t="s">
        <v>91</v>
      </c>
      <c r="B6" s="97">
        <v>37879</v>
      </c>
      <c r="C6" s="97">
        <v>3454</v>
      </c>
      <c r="D6" s="97">
        <v>3454</v>
      </c>
      <c r="E6" s="63" t="s">
        <v>91</v>
      </c>
      <c r="F6" s="54">
        <f t="shared" si="1"/>
        <v>790969</v>
      </c>
      <c r="G6" s="54">
        <v>30497</v>
      </c>
      <c r="H6" s="54">
        <v>760472</v>
      </c>
      <c r="I6" s="40"/>
      <c r="J6" s="40"/>
      <c r="K6" s="25"/>
      <c r="L6" s="25"/>
    </row>
    <row r="7" spans="1:12" s="39" customFormat="1" ht="17.45" customHeight="1">
      <c r="A7" s="63" t="s">
        <v>13</v>
      </c>
      <c r="B7" s="95">
        <f>95535+19868</f>
        <v>115403</v>
      </c>
      <c r="C7" s="95">
        <f>2250+1439</f>
        <v>3689</v>
      </c>
      <c r="D7" s="95">
        <f>2250+1439</f>
        <v>3689</v>
      </c>
      <c r="E7" s="63" t="s">
        <v>13</v>
      </c>
      <c r="F7" s="54">
        <f t="shared" si="1"/>
        <v>832512</v>
      </c>
      <c r="G7" s="55">
        <v>12214</v>
      </c>
      <c r="H7" s="55">
        <f>680703+139595</f>
        <v>820298</v>
      </c>
    </row>
    <row r="8" spans="1:12" s="39" customFormat="1" ht="17.45" customHeight="1">
      <c r="A8" s="63" t="s">
        <v>11</v>
      </c>
      <c r="B8" s="95">
        <v>406</v>
      </c>
      <c r="C8" s="95">
        <v>2</v>
      </c>
      <c r="D8" s="95">
        <v>2</v>
      </c>
      <c r="E8" s="63" t="s">
        <v>11</v>
      </c>
      <c r="F8" s="54">
        <f t="shared" si="1"/>
        <v>372360</v>
      </c>
      <c r="G8" s="55">
        <v>13812</v>
      </c>
      <c r="H8" s="55">
        <v>358548</v>
      </c>
    </row>
    <row r="9" spans="1:12" s="39" customFormat="1" ht="17.45" customHeight="1">
      <c r="A9" s="63" t="s">
        <v>20</v>
      </c>
      <c r="B9" s="95">
        <v>34717</v>
      </c>
      <c r="C9" s="95">
        <v>3013</v>
      </c>
      <c r="D9" s="95">
        <v>3013</v>
      </c>
      <c r="E9" s="63" t="s">
        <v>20</v>
      </c>
      <c r="F9" s="54">
        <f t="shared" si="1"/>
        <v>732662</v>
      </c>
      <c r="G9" s="55">
        <v>23648</v>
      </c>
      <c r="H9" s="55">
        <v>709014</v>
      </c>
    </row>
    <row r="10" spans="1:12" s="39" customFormat="1" ht="17.45" customHeight="1">
      <c r="A10" s="63" t="s">
        <v>2</v>
      </c>
      <c r="B10" s="95">
        <v>112136</v>
      </c>
      <c r="C10" s="95">
        <v>2299</v>
      </c>
      <c r="D10" s="95">
        <v>2299</v>
      </c>
      <c r="E10" s="63" t="s">
        <v>2</v>
      </c>
      <c r="F10" s="54">
        <f t="shared" si="1"/>
        <v>1413994</v>
      </c>
      <c r="G10" s="55">
        <v>15083</v>
      </c>
      <c r="H10" s="55">
        <v>1398911</v>
      </c>
    </row>
    <row r="11" spans="1:12" s="39" customFormat="1" ht="17.45" customHeight="1">
      <c r="A11" s="63" t="s">
        <v>17</v>
      </c>
      <c r="B11" s="95">
        <v>1730</v>
      </c>
      <c r="C11" s="95">
        <v>205</v>
      </c>
      <c r="D11" s="95">
        <v>205</v>
      </c>
      <c r="E11" s="63" t="s">
        <v>17</v>
      </c>
      <c r="F11" s="54">
        <f t="shared" si="1"/>
        <v>549224</v>
      </c>
      <c r="G11" s="55">
        <v>27215</v>
      </c>
      <c r="H11" s="55">
        <v>522009</v>
      </c>
    </row>
    <row r="12" spans="1:12" s="39" customFormat="1" ht="17.45" customHeight="1">
      <c r="A12" s="63" t="s">
        <v>15</v>
      </c>
      <c r="B12" s="95">
        <f>91805+24597</f>
        <v>116402</v>
      </c>
      <c r="C12" s="95">
        <f>5703+3489</f>
        <v>9192</v>
      </c>
      <c r="D12" s="95">
        <f>5703+3489</f>
        <v>9192</v>
      </c>
      <c r="E12" s="63" t="s">
        <v>15</v>
      </c>
      <c r="F12" s="54">
        <f t="shared" si="1"/>
        <v>923273</v>
      </c>
      <c r="G12" s="55">
        <f>6372+36</f>
        <v>6408</v>
      </c>
      <c r="H12" s="55">
        <f>856309+60556</f>
        <v>916865</v>
      </c>
    </row>
    <row r="13" spans="1:12" s="39" customFormat="1" ht="17.45" customHeight="1">
      <c r="A13" s="63" t="s">
        <v>79</v>
      </c>
      <c r="B13" s="95">
        <v>38587</v>
      </c>
      <c r="C13" s="95">
        <v>2244</v>
      </c>
      <c r="D13" s="95">
        <v>2244</v>
      </c>
      <c r="E13" s="63" t="s">
        <v>79</v>
      </c>
      <c r="F13" s="54">
        <f t="shared" si="1"/>
        <v>1207016</v>
      </c>
      <c r="G13" s="55">
        <v>24221</v>
      </c>
      <c r="H13" s="55">
        <v>1182795</v>
      </c>
    </row>
    <row r="14" spans="1:12" s="39" customFormat="1" ht="17.45" customHeight="1">
      <c r="A14" s="63" t="s">
        <v>80</v>
      </c>
      <c r="B14" s="95">
        <v>19336</v>
      </c>
      <c r="C14" s="95">
        <v>312</v>
      </c>
      <c r="D14" s="95">
        <v>312</v>
      </c>
      <c r="E14" s="63" t="s">
        <v>80</v>
      </c>
      <c r="F14" s="54">
        <f t="shared" si="1"/>
        <v>699138</v>
      </c>
      <c r="G14" s="55">
        <v>6343</v>
      </c>
      <c r="H14" s="55">
        <v>692795</v>
      </c>
    </row>
    <row r="15" spans="1:12" s="39" customFormat="1" ht="17.45" customHeight="1">
      <c r="A15" s="63" t="s">
        <v>6</v>
      </c>
      <c r="B15" s="95">
        <v>30171</v>
      </c>
      <c r="C15" s="95">
        <v>892</v>
      </c>
      <c r="D15" s="95">
        <v>892</v>
      </c>
      <c r="E15" s="63" t="s">
        <v>6</v>
      </c>
      <c r="F15" s="54">
        <f t="shared" si="1"/>
        <v>586173</v>
      </c>
      <c r="G15" s="55">
        <v>4122</v>
      </c>
      <c r="H15" s="55">
        <v>582051</v>
      </c>
    </row>
    <row r="16" spans="1:12" s="39" customFormat="1" ht="17.45" customHeight="1">
      <c r="A16" s="63" t="s">
        <v>9</v>
      </c>
      <c r="B16" s="95">
        <v>1177</v>
      </c>
      <c r="C16" s="95">
        <v>91</v>
      </c>
      <c r="D16" s="95">
        <v>91</v>
      </c>
      <c r="E16" s="63" t="s">
        <v>9</v>
      </c>
      <c r="F16" s="54">
        <f t="shared" si="1"/>
        <v>1427495</v>
      </c>
      <c r="G16" s="55">
        <v>32285</v>
      </c>
      <c r="H16" s="55">
        <v>1395210</v>
      </c>
    </row>
    <row r="17" spans="1:12" s="39" customFormat="1" ht="17.45" customHeight="1">
      <c r="A17" s="63" t="s">
        <v>7</v>
      </c>
      <c r="B17" s="95">
        <v>31792</v>
      </c>
      <c r="C17" s="95">
        <v>2003</v>
      </c>
      <c r="D17" s="95">
        <v>2003</v>
      </c>
      <c r="E17" s="63" t="s">
        <v>7</v>
      </c>
      <c r="F17" s="54">
        <f t="shared" si="1"/>
        <v>605977</v>
      </c>
      <c r="G17" s="55">
        <v>11745</v>
      </c>
      <c r="H17" s="55">
        <v>594232</v>
      </c>
    </row>
    <row r="18" spans="1:12" s="39" customFormat="1" ht="17.45" customHeight="1">
      <c r="A18" s="63" t="s">
        <v>92</v>
      </c>
      <c r="B18" s="97">
        <v>77769</v>
      </c>
      <c r="C18" s="97">
        <v>9230</v>
      </c>
      <c r="D18" s="97">
        <v>9230</v>
      </c>
      <c r="E18" s="63" t="s">
        <v>92</v>
      </c>
      <c r="F18" s="54">
        <f t="shared" si="1"/>
        <v>655780</v>
      </c>
      <c r="G18" s="54">
        <v>6435</v>
      </c>
      <c r="H18" s="54">
        <v>649345</v>
      </c>
      <c r="I18" s="40"/>
      <c r="J18" s="40"/>
      <c r="K18" s="41"/>
      <c r="L18" s="41"/>
    </row>
    <row r="19" spans="1:12" s="39" customFormat="1" ht="17.45" customHeight="1">
      <c r="A19" s="63" t="s">
        <v>5</v>
      </c>
      <c r="B19" s="95">
        <f>36238+13412</f>
        <v>49650</v>
      </c>
      <c r="C19" s="95">
        <f>1202+1375</f>
        <v>2577</v>
      </c>
      <c r="D19" s="95">
        <f>1202+1375</f>
        <v>2577</v>
      </c>
      <c r="E19" s="63" t="s">
        <v>5</v>
      </c>
      <c r="F19" s="54">
        <f t="shared" si="1"/>
        <v>1103931</v>
      </c>
      <c r="G19" s="55">
        <v>30538</v>
      </c>
      <c r="H19" s="55">
        <f>966969+106424</f>
        <v>1073393</v>
      </c>
    </row>
    <row r="20" spans="1:12" s="39" customFormat="1" ht="17.45" customHeight="1">
      <c r="A20" s="63" t="s">
        <v>12</v>
      </c>
      <c r="B20" s="96" t="s">
        <v>123</v>
      </c>
      <c r="C20" s="96" t="s">
        <v>123</v>
      </c>
      <c r="D20" s="96" t="s">
        <v>123</v>
      </c>
      <c r="E20" s="63" t="s">
        <v>12</v>
      </c>
      <c r="F20" s="55" t="s">
        <v>123</v>
      </c>
      <c r="G20" s="55" t="s">
        <v>123</v>
      </c>
      <c r="H20" s="55" t="s">
        <v>123</v>
      </c>
    </row>
    <row r="21" spans="1:12" s="39" customFormat="1" ht="17.45" customHeight="1">
      <c r="A21" s="63" t="s">
        <v>93</v>
      </c>
      <c r="B21" s="97">
        <v>34152</v>
      </c>
      <c r="C21" s="97">
        <v>2849</v>
      </c>
      <c r="D21" s="97">
        <v>2849</v>
      </c>
      <c r="E21" s="63" t="s">
        <v>93</v>
      </c>
      <c r="F21" s="54">
        <f t="shared" si="1"/>
        <v>658156</v>
      </c>
      <c r="G21" s="54">
        <v>13781</v>
      </c>
      <c r="H21" s="54">
        <v>644375</v>
      </c>
      <c r="I21" s="40"/>
      <c r="J21" s="40"/>
      <c r="K21" s="25"/>
      <c r="L21" s="25"/>
    </row>
    <row r="22" spans="1:12" s="39" customFormat="1" ht="17.45" customHeight="1">
      <c r="A22" s="63" t="s">
        <v>14</v>
      </c>
      <c r="B22" s="95">
        <f>79930+25122</f>
        <v>105052</v>
      </c>
      <c r="C22" s="95">
        <f>5906+2405</f>
        <v>8311</v>
      </c>
      <c r="D22" s="95">
        <f>5906+2405</f>
        <v>8311</v>
      </c>
      <c r="E22" s="63" t="s">
        <v>14</v>
      </c>
      <c r="F22" s="54">
        <f t="shared" si="1"/>
        <v>717020</v>
      </c>
      <c r="G22" s="55">
        <v>4643</v>
      </c>
      <c r="H22" s="55">
        <f>662944+49433</f>
        <v>712377</v>
      </c>
    </row>
    <row r="23" spans="1:12" s="39" customFormat="1" ht="17.45" customHeight="1">
      <c r="A23" s="63" t="s">
        <v>21</v>
      </c>
      <c r="B23" s="95">
        <v>5072</v>
      </c>
      <c r="C23" s="95">
        <v>59</v>
      </c>
      <c r="D23" s="95">
        <v>59</v>
      </c>
      <c r="E23" s="63" t="s">
        <v>21</v>
      </c>
      <c r="F23" s="54">
        <f t="shared" si="1"/>
        <v>1133422</v>
      </c>
      <c r="G23" s="55">
        <v>20548</v>
      </c>
      <c r="H23" s="55">
        <v>1112874</v>
      </c>
    </row>
    <row r="24" spans="1:12" s="39" customFormat="1" ht="17.45" customHeight="1">
      <c r="A24" s="63" t="s">
        <v>10</v>
      </c>
      <c r="B24" s="95">
        <v>429</v>
      </c>
      <c r="C24" s="95">
        <v>5</v>
      </c>
      <c r="D24" s="95">
        <v>5</v>
      </c>
      <c r="E24" s="63" t="s">
        <v>10</v>
      </c>
      <c r="F24" s="54">
        <f t="shared" si="1"/>
        <v>1651417</v>
      </c>
      <c r="G24" s="55">
        <v>30562</v>
      </c>
      <c r="H24" s="55">
        <v>1620855</v>
      </c>
    </row>
    <row r="25" spans="1:12" s="39" customFormat="1" ht="17.45" customHeight="1">
      <c r="A25" s="63" t="s">
        <v>3</v>
      </c>
      <c r="B25" s="95">
        <v>108082</v>
      </c>
      <c r="C25" s="95">
        <v>2151</v>
      </c>
      <c r="D25" s="95">
        <v>2151</v>
      </c>
      <c r="E25" s="63" t="s">
        <v>3</v>
      </c>
      <c r="F25" s="54">
        <f t="shared" si="1"/>
        <v>1441640</v>
      </c>
      <c r="G25" s="55">
        <v>39270</v>
      </c>
      <c r="H25" s="55">
        <v>1402370</v>
      </c>
    </row>
    <row r="26" spans="1:12" s="39" customFormat="1" ht="17.45" customHeight="1">
      <c r="A26" s="63" t="s">
        <v>94</v>
      </c>
      <c r="B26" s="97">
        <v>45401</v>
      </c>
      <c r="C26" s="97">
        <v>5190</v>
      </c>
      <c r="D26" s="97">
        <v>5190</v>
      </c>
      <c r="E26" s="63" t="s">
        <v>94</v>
      </c>
      <c r="F26" s="54">
        <f t="shared" si="1"/>
        <v>337061</v>
      </c>
      <c r="G26" s="54">
        <v>2851</v>
      </c>
      <c r="H26" s="54">
        <v>334210</v>
      </c>
      <c r="I26" s="40"/>
      <c r="J26" s="40"/>
      <c r="K26" s="41"/>
      <c r="L26" s="41"/>
    </row>
    <row r="27" spans="1:12" s="39" customFormat="1" ht="17.45" customHeight="1">
      <c r="A27" s="63" t="s">
        <v>96</v>
      </c>
      <c r="B27" s="97">
        <v>37067</v>
      </c>
      <c r="C27" s="97">
        <v>4610</v>
      </c>
      <c r="D27" s="97">
        <v>4610</v>
      </c>
      <c r="E27" s="63" t="s">
        <v>96</v>
      </c>
      <c r="F27" s="54">
        <f t="shared" si="1"/>
        <v>1251861</v>
      </c>
      <c r="G27" s="54">
        <v>4099</v>
      </c>
      <c r="H27" s="54">
        <v>1247762</v>
      </c>
      <c r="I27" s="106"/>
      <c r="J27" s="40"/>
      <c r="K27" s="41"/>
      <c r="L27" s="41"/>
    </row>
    <row r="28" spans="1:12" s="39" customFormat="1" ht="17.45" customHeight="1">
      <c r="A28" s="63" t="s">
        <v>1</v>
      </c>
      <c r="B28" s="95">
        <v>63162</v>
      </c>
      <c r="C28" s="95">
        <v>2562</v>
      </c>
      <c r="D28" s="95">
        <v>2562</v>
      </c>
      <c r="E28" s="63" t="s">
        <v>1</v>
      </c>
      <c r="F28" s="54">
        <f t="shared" si="1"/>
        <v>1604874</v>
      </c>
      <c r="G28" s="55">
        <v>30079</v>
      </c>
      <c r="H28" s="55">
        <v>1574795</v>
      </c>
      <c r="I28" s="107"/>
    </row>
    <row r="29" spans="1:12" ht="17.45" customHeight="1">
      <c r="A29" s="63" t="s">
        <v>95</v>
      </c>
      <c r="B29" s="97">
        <v>23860</v>
      </c>
      <c r="C29" s="97">
        <v>1632</v>
      </c>
      <c r="D29" s="97">
        <v>1632</v>
      </c>
      <c r="E29" s="63" t="s">
        <v>95</v>
      </c>
      <c r="F29" s="54">
        <f t="shared" si="1"/>
        <v>220944</v>
      </c>
      <c r="G29" s="54">
        <v>52</v>
      </c>
      <c r="H29" s="54">
        <v>220892</v>
      </c>
      <c r="I29" s="40"/>
      <c r="J29" s="40"/>
    </row>
    <row r="30" spans="1:12" s="25" customFormat="1" ht="17.45" customHeight="1">
      <c r="A30" s="63" t="s">
        <v>0</v>
      </c>
      <c r="B30" s="95">
        <f>7100+11724</f>
        <v>18824</v>
      </c>
      <c r="C30" s="95">
        <f>926+447</f>
        <v>1373</v>
      </c>
      <c r="D30" s="95">
        <f>926+447</f>
        <v>1373</v>
      </c>
      <c r="E30" s="63" t="s">
        <v>0</v>
      </c>
      <c r="F30" s="54">
        <f t="shared" si="1"/>
        <v>2146957</v>
      </c>
      <c r="G30" s="55">
        <v>39232</v>
      </c>
      <c r="H30" s="55">
        <f>2024705+83020</f>
        <v>2107725</v>
      </c>
      <c r="I30" s="107"/>
      <c r="J30" s="66"/>
      <c r="K30" s="39"/>
      <c r="L30" s="39"/>
    </row>
    <row r="31" spans="1:12" ht="17.45" customHeight="1">
      <c r="A31" s="63" t="s">
        <v>19</v>
      </c>
      <c r="B31" s="95">
        <v>33741</v>
      </c>
      <c r="C31" s="95">
        <v>1320</v>
      </c>
      <c r="D31" s="95">
        <v>1320</v>
      </c>
      <c r="E31" s="63" t="s">
        <v>19</v>
      </c>
      <c r="F31" s="54">
        <f>SUM(G31+H31)</f>
        <v>408124</v>
      </c>
      <c r="G31" s="55">
        <v>11907</v>
      </c>
      <c r="H31" s="55">
        <v>396217</v>
      </c>
      <c r="I31" s="106"/>
      <c r="J31" s="40"/>
    </row>
    <row r="32" spans="1:12" s="25" customFormat="1" ht="17.45" customHeight="1">
      <c r="A32" s="63" t="s">
        <v>97</v>
      </c>
      <c r="B32" s="97">
        <v>39740</v>
      </c>
      <c r="C32" s="97">
        <v>7266</v>
      </c>
      <c r="D32" s="97">
        <v>7266</v>
      </c>
      <c r="E32" s="63" t="s">
        <v>97</v>
      </c>
      <c r="F32" s="54">
        <f t="shared" si="1"/>
        <v>141305</v>
      </c>
      <c r="G32" s="54">
        <v>1154</v>
      </c>
      <c r="H32" s="54">
        <v>140151</v>
      </c>
      <c r="I32" s="107"/>
      <c r="J32" s="66"/>
      <c r="K32" s="39"/>
      <c r="L32" s="39"/>
    </row>
    <row r="33" spans="1:12" ht="17.45" customHeight="1">
      <c r="A33" s="63" t="s">
        <v>4</v>
      </c>
      <c r="B33" s="95">
        <v>10678</v>
      </c>
      <c r="C33" s="95">
        <v>468</v>
      </c>
      <c r="D33" s="95">
        <v>468</v>
      </c>
      <c r="E33" s="63" t="s">
        <v>4</v>
      </c>
      <c r="F33" s="54">
        <f t="shared" si="1"/>
        <v>1423178</v>
      </c>
      <c r="G33" s="55">
        <v>20046</v>
      </c>
      <c r="H33" s="55">
        <v>1403132</v>
      </c>
      <c r="I33" s="107"/>
      <c r="J33" s="66"/>
      <c r="K33" s="39"/>
      <c r="L33" s="39"/>
    </row>
    <row r="34" spans="1:12" ht="17.45" customHeight="1">
      <c r="A34" s="63" t="s">
        <v>18</v>
      </c>
      <c r="B34" s="95">
        <v>47549</v>
      </c>
      <c r="C34" s="95">
        <v>445</v>
      </c>
      <c r="D34" s="95">
        <v>445</v>
      </c>
      <c r="E34" s="63" t="s">
        <v>18</v>
      </c>
      <c r="F34" s="54">
        <f t="shared" si="1"/>
        <v>2479203</v>
      </c>
      <c r="G34" s="55">
        <v>178166</v>
      </c>
      <c r="H34" s="55">
        <v>2301037</v>
      </c>
      <c r="I34" s="107"/>
      <c r="J34" s="66"/>
      <c r="K34" s="39"/>
      <c r="L34" s="39"/>
    </row>
    <row r="35" spans="1:12" ht="17.45" customHeight="1">
      <c r="A35" s="63" t="s">
        <v>16</v>
      </c>
      <c r="B35" s="95">
        <f>39308+29152</f>
        <v>68460</v>
      </c>
      <c r="C35" s="95">
        <f>2729+2164</f>
        <v>4893</v>
      </c>
      <c r="D35" s="95">
        <f>2729+2164</f>
        <v>4893</v>
      </c>
      <c r="E35" s="63" t="s">
        <v>16</v>
      </c>
      <c r="F35" s="54">
        <f t="shared" si="1"/>
        <v>873844</v>
      </c>
      <c r="G35" s="55">
        <v>26439</v>
      </c>
      <c r="H35" s="55">
        <f>699873+147532</f>
        <v>847405</v>
      </c>
      <c r="I35" s="107"/>
      <c r="J35" s="66"/>
      <c r="K35" s="39"/>
      <c r="L35" s="39"/>
    </row>
    <row r="36" spans="1:12" ht="17.45" customHeight="1">
      <c r="A36" s="63" t="s">
        <v>73</v>
      </c>
      <c r="B36" s="96" t="s">
        <v>123</v>
      </c>
      <c r="C36" s="96" t="s">
        <v>123</v>
      </c>
      <c r="D36" s="96" t="s">
        <v>123</v>
      </c>
      <c r="E36" s="63" t="s">
        <v>73</v>
      </c>
      <c r="F36" s="55" t="s">
        <v>123</v>
      </c>
      <c r="G36" s="55" t="s">
        <v>123</v>
      </c>
      <c r="H36" s="55">
        <v>53010</v>
      </c>
      <c r="I36" s="108"/>
      <c r="J36" s="105"/>
    </row>
    <row r="37" spans="1:12" s="25" customFormat="1" ht="12.95" customHeight="1">
      <c r="A37" s="32"/>
      <c r="B37" s="23"/>
      <c r="C37" s="33"/>
      <c r="E37" s="7" t="s">
        <v>151</v>
      </c>
      <c r="F37" s="26"/>
      <c r="G37" s="26"/>
      <c r="H37" s="26"/>
    </row>
    <row r="38" spans="1:12" s="25" customFormat="1" ht="12">
      <c r="A38" s="23"/>
      <c r="B38" s="23"/>
      <c r="C38" s="23"/>
      <c r="D38" s="27" t="s">
        <v>150</v>
      </c>
      <c r="E38" s="7" t="s">
        <v>152</v>
      </c>
      <c r="F38" s="8"/>
      <c r="G38" s="8"/>
      <c r="H38" s="8"/>
    </row>
    <row r="39" spans="1:12" s="25" customFormat="1" ht="12">
      <c r="A39" s="23"/>
      <c r="B39" s="23"/>
      <c r="C39" s="23"/>
      <c r="D39" s="23"/>
      <c r="F39" s="23"/>
      <c r="G39" s="23"/>
      <c r="H39" s="27" t="s">
        <v>150</v>
      </c>
    </row>
    <row r="40" spans="1:12">
      <c r="E40" s="25"/>
      <c r="H40" s="34"/>
    </row>
  </sheetData>
  <sortState ref="A5:N36">
    <sortCondition ref="A5:A36"/>
  </sortState>
  <mergeCells count="2">
    <mergeCell ref="A1:D1"/>
    <mergeCell ref="E1:H1"/>
  </mergeCells>
  <phoneticPr fontId="0" type="noConversion"/>
  <printOptions horizontalCentered="1"/>
  <pageMargins left="0.75" right="0.75" top="1" bottom="1" header="0.5" footer="0.5"/>
  <pageSetup paperSize="9" firstPageNumber="51" orientation="portrait" r:id="rId1"/>
  <headerFooter alignWithMargins="0">
    <oddHeader>&amp;C&amp;P</oddHeader>
  </headerFooter>
  <colBreaks count="1" manualBreakCount="1">
    <brk id="4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0"/>
  <sheetViews>
    <sheetView view="pageBreakPreview" zoomScaleSheetLayoutView="100" workbookViewId="0">
      <selection sqref="A1:L1"/>
    </sheetView>
  </sheetViews>
  <sheetFormatPr defaultRowHeight="12.75"/>
  <cols>
    <col min="1" max="1" width="11.28515625" style="41" customWidth="1"/>
    <col min="2" max="2" width="8.28515625" style="41" customWidth="1"/>
    <col min="3" max="3" width="7.42578125" style="41" customWidth="1"/>
    <col min="4" max="5" width="7.5703125" style="41" customWidth="1"/>
    <col min="6" max="6" width="7" style="41" customWidth="1"/>
    <col min="7" max="7" width="8.140625" style="41" customWidth="1"/>
    <col min="8" max="9" width="7" style="41" customWidth="1"/>
    <col min="10" max="10" width="6.140625" style="41" customWidth="1"/>
    <col min="11" max="11" width="5.85546875" style="41" customWidth="1"/>
    <col min="12" max="12" width="5.28515625" style="41" customWidth="1"/>
    <col min="13" max="16384" width="9.140625" style="41"/>
  </cols>
  <sheetData>
    <row r="1" spans="1:15" s="30" customFormat="1" ht="60" customHeight="1">
      <c r="A1" s="159" t="s">
        <v>108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56"/>
      <c r="N1" s="56"/>
      <c r="O1" s="56"/>
    </row>
    <row r="2" spans="1:15" s="25" customFormat="1" ht="12.95" customHeight="1">
      <c r="A2" s="21" t="s">
        <v>101</v>
      </c>
      <c r="B2" s="21"/>
      <c r="C2" s="21"/>
      <c r="D2" s="21"/>
      <c r="E2" s="22" t="s">
        <v>58</v>
      </c>
      <c r="F2" s="21"/>
      <c r="G2" s="21"/>
      <c r="H2" s="21"/>
      <c r="I2" s="21"/>
      <c r="J2" s="21"/>
      <c r="K2" s="168" t="s">
        <v>51</v>
      </c>
      <c r="L2" s="168"/>
      <c r="M2" s="57"/>
      <c r="N2" s="57"/>
    </row>
    <row r="3" spans="1:15" s="25" customFormat="1" ht="26.25" customHeight="1">
      <c r="A3" s="167" t="s">
        <v>28</v>
      </c>
      <c r="B3" s="167" t="s">
        <v>36</v>
      </c>
      <c r="C3" s="167" t="s">
        <v>68</v>
      </c>
      <c r="D3" s="169" t="s">
        <v>153</v>
      </c>
      <c r="E3" s="169"/>
      <c r="F3" s="170"/>
      <c r="G3" s="171" t="s">
        <v>42</v>
      </c>
      <c r="H3" s="167" t="s">
        <v>62</v>
      </c>
      <c r="I3" s="167"/>
      <c r="J3" s="167"/>
      <c r="K3" s="167"/>
      <c r="L3" s="167"/>
    </row>
    <row r="4" spans="1:15" s="25" customFormat="1" ht="26.25" customHeight="1">
      <c r="A4" s="167"/>
      <c r="B4" s="167"/>
      <c r="C4" s="167"/>
      <c r="D4" s="114">
        <v>1</v>
      </c>
      <c r="E4" s="87">
        <v>2</v>
      </c>
      <c r="F4" s="87">
        <v>3</v>
      </c>
      <c r="G4" s="172"/>
      <c r="H4" s="87" t="s">
        <v>63</v>
      </c>
      <c r="I4" s="87" t="s">
        <v>64</v>
      </c>
      <c r="J4" s="87" t="s">
        <v>65</v>
      </c>
      <c r="K4" s="87" t="s">
        <v>66</v>
      </c>
      <c r="L4" s="87" t="s">
        <v>67</v>
      </c>
    </row>
    <row r="5" spans="1:15" s="25" customFormat="1" ht="25.5" customHeight="1">
      <c r="A5" s="126" t="s">
        <v>56</v>
      </c>
      <c r="B5" s="127">
        <f>SUM(B6:B37)</f>
        <v>1085944</v>
      </c>
      <c r="C5" s="127">
        <f t="shared" ref="C5:L5" si="0">SUM(C6:C37)</f>
        <v>894588</v>
      </c>
      <c r="D5" s="127">
        <f t="shared" si="0"/>
        <v>1071039</v>
      </c>
      <c r="E5" s="127">
        <f t="shared" si="0"/>
        <v>951735</v>
      </c>
      <c r="F5" s="127">
        <f t="shared" si="0"/>
        <v>910121</v>
      </c>
      <c r="G5" s="127">
        <f t="shared" si="0"/>
        <v>1037331</v>
      </c>
      <c r="H5" s="127">
        <f t="shared" si="0"/>
        <v>727763</v>
      </c>
      <c r="I5" s="127">
        <f t="shared" si="0"/>
        <v>568301</v>
      </c>
      <c r="J5" s="127">
        <f t="shared" si="0"/>
        <v>61120</v>
      </c>
      <c r="K5" s="127">
        <f t="shared" si="0"/>
        <v>17092</v>
      </c>
      <c r="L5" s="127">
        <f t="shared" si="0"/>
        <v>7847</v>
      </c>
    </row>
    <row r="6" spans="1:15" ht="16.5" customHeight="1">
      <c r="A6" s="128" t="s">
        <v>8</v>
      </c>
      <c r="B6" s="129">
        <v>45490</v>
      </c>
      <c r="C6" s="129">
        <v>42737</v>
      </c>
      <c r="D6" s="129">
        <v>40385</v>
      </c>
      <c r="E6" s="129">
        <v>37571</v>
      </c>
      <c r="F6" s="129">
        <v>36493</v>
      </c>
      <c r="G6" s="129">
        <v>36641</v>
      </c>
      <c r="H6" s="129">
        <v>30960</v>
      </c>
      <c r="I6" s="129">
        <v>26524</v>
      </c>
      <c r="J6" s="129">
        <v>3</v>
      </c>
      <c r="K6" s="129" t="s">
        <v>123</v>
      </c>
      <c r="L6" s="129">
        <v>7</v>
      </c>
    </row>
    <row r="7" spans="1:15" ht="16.5" customHeight="1">
      <c r="A7" s="130" t="s">
        <v>91</v>
      </c>
      <c r="B7" s="131">
        <v>41626</v>
      </c>
      <c r="C7" s="131">
        <v>29615</v>
      </c>
      <c r="D7" s="131">
        <v>39038</v>
      </c>
      <c r="E7" s="131">
        <v>36475</v>
      </c>
      <c r="F7" s="131">
        <v>35490</v>
      </c>
      <c r="G7" s="131">
        <v>66224</v>
      </c>
      <c r="H7" s="131">
        <v>26222</v>
      </c>
      <c r="I7" s="131">
        <v>19886</v>
      </c>
      <c r="J7" s="131">
        <v>5392</v>
      </c>
      <c r="K7" s="131">
        <v>756</v>
      </c>
      <c r="L7" s="131">
        <v>135</v>
      </c>
      <c r="M7" s="25"/>
      <c r="N7" s="25"/>
      <c r="O7" s="25"/>
    </row>
    <row r="8" spans="1:15" ht="16.5" customHeight="1">
      <c r="A8" s="128" t="s">
        <v>13</v>
      </c>
      <c r="B8" s="129">
        <f>37621+5943</f>
        <v>43564</v>
      </c>
      <c r="C8" s="129">
        <f>13579+3197</f>
        <v>16776</v>
      </c>
      <c r="D8" s="129">
        <f>38621+8117</f>
        <v>46738</v>
      </c>
      <c r="E8" s="129">
        <f>32192+6536</f>
        <v>38728</v>
      </c>
      <c r="F8" s="129">
        <f>29960+5628</f>
        <v>35588</v>
      </c>
      <c r="G8" s="129">
        <f>36236+5711+3806</f>
        <v>45753</v>
      </c>
      <c r="H8" s="129">
        <f>24916+2873</f>
        <v>27789</v>
      </c>
      <c r="I8" s="129">
        <f>17288+2235</f>
        <v>19523</v>
      </c>
      <c r="J8" s="129">
        <f>1954+960</f>
        <v>2914</v>
      </c>
      <c r="K8" s="129">
        <f>612+575</f>
        <v>1187</v>
      </c>
      <c r="L8" s="129">
        <f>275+267</f>
        <v>542</v>
      </c>
    </row>
    <row r="9" spans="1:15" ht="16.5" customHeight="1">
      <c r="A9" s="128" t="s">
        <v>11</v>
      </c>
      <c r="B9" s="129">
        <v>13621</v>
      </c>
      <c r="C9" s="129">
        <v>6936</v>
      </c>
      <c r="D9" s="129">
        <v>13397</v>
      </c>
      <c r="E9" s="129">
        <v>12242</v>
      </c>
      <c r="F9" s="129">
        <v>12066</v>
      </c>
      <c r="G9" s="129">
        <v>12196</v>
      </c>
      <c r="H9" s="129">
        <v>9591</v>
      </c>
      <c r="I9" s="129">
        <v>6224</v>
      </c>
      <c r="J9" s="129">
        <v>5</v>
      </c>
      <c r="K9" s="129" t="s">
        <v>123</v>
      </c>
      <c r="L9" s="129" t="s">
        <v>123</v>
      </c>
    </row>
    <row r="10" spans="1:15" ht="16.5" customHeight="1">
      <c r="A10" s="128" t="s">
        <v>20</v>
      </c>
      <c r="B10" s="129">
        <v>28995</v>
      </c>
      <c r="C10" s="129">
        <v>24879</v>
      </c>
      <c r="D10" s="129">
        <v>28431</v>
      </c>
      <c r="E10" s="129">
        <v>25681</v>
      </c>
      <c r="F10" s="129">
        <v>24791</v>
      </c>
      <c r="G10" s="129">
        <v>25052</v>
      </c>
      <c r="H10" s="129">
        <v>21489</v>
      </c>
      <c r="I10" s="129">
        <v>17905</v>
      </c>
      <c r="J10" s="129">
        <v>1385</v>
      </c>
      <c r="K10" s="129">
        <v>511</v>
      </c>
      <c r="L10" s="129">
        <v>267</v>
      </c>
    </row>
    <row r="11" spans="1:15" ht="16.5" customHeight="1">
      <c r="A11" s="128" t="s">
        <v>2</v>
      </c>
      <c r="B11" s="129">
        <v>53030</v>
      </c>
      <c r="C11" s="129">
        <v>53165</v>
      </c>
      <c r="D11" s="129">
        <v>49718</v>
      </c>
      <c r="E11" s="129">
        <v>42787</v>
      </c>
      <c r="F11" s="129">
        <v>41590</v>
      </c>
      <c r="G11" s="129">
        <v>43519</v>
      </c>
      <c r="H11" s="129">
        <v>34567</v>
      </c>
      <c r="I11" s="129">
        <v>27012</v>
      </c>
      <c r="J11" s="129">
        <v>4654</v>
      </c>
      <c r="K11" s="129">
        <v>1709</v>
      </c>
      <c r="L11" s="129">
        <v>949</v>
      </c>
    </row>
    <row r="12" spans="1:15" ht="16.5" customHeight="1">
      <c r="A12" s="128" t="s">
        <v>17</v>
      </c>
      <c r="B12" s="129">
        <v>12689</v>
      </c>
      <c r="C12" s="129">
        <v>11153</v>
      </c>
      <c r="D12" s="129">
        <v>12619</v>
      </c>
      <c r="E12" s="129">
        <v>11729</v>
      </c>
      <c r="F12" s="129">
        <v>11454</v>
      </c>
      <c r="G12" s="129">
        <v>12134</v>
      </c>
      <c r="H12" s="129">
        <v>9653</v>
      </c>
      <c r="I12" s="129">
        <v>8099</v>
      </c>
      <c r="J12" s="129">
        <v>336</v>
      </c>
      <c r="K12" s="129">
        <v>45</v>
      </c>
      <c r="L12" s="129">
        <v>32</v>
      </c>
    </row>
    <row r="13" spans="1:15" ht="16.5" customHeight="1">
      <c r="A13" s="128" t="s">
        <v>69</v>
      </c>
      <c r="B13" s="129">
        <f>46729+2517</f>
        <v>49246</v>
      </c>
      <c r="C13" s="129">
        <f>36718+1056</f>
        <v>37774</v>
      </c>
      <c r="D13" s="129">
        <f>46298+2062</f>
        <v>48360</v>
      </c>
      <c r="E13" s="129">
        <f>42599+1597</f>
        <v>44196</v>
      </c>
      <c r="F13" s="129">
        <f>42463+1424</f>
        <v>43887</v>
      </c>
      <c r="G13" s="129">
        <f>44310+1711+679</f>
        <v>46700</v>
      </c>
      <c r="H13" s="129">
        <f>39790+841</f>
        <v>40631</v>
      </c>
      <c r="I13" s="129">
        <f>33393+447</f>
        <v>33840</v>
      </c>
      <c r="J13" s="129">
        <f>654+141</f>
        <v>795</v>
      </c>
      <c r="K13" s="129">
        <f>78+23</f>
        <v>101</v>
      </c>
      <c r="L13" s="129">
        <f>17+2</f>
        <v>19</v>
      </c>
    </row>
    <row r="14" spans="1:15" ht="16.5" customHeight="1">
      <c r="A14" s="128" t="s">
        <v>70</v>
      </c>
      <c r="B14" s="129">
        <v>42881</v>
      </c>
      <c r="C14" s="129">
        <v>42863</v>
      </c>
      <c r="D14" s="129">
        <v>41474</v>
      </c>
      <c r="E14" s="129">
        <v>38367</v>
      </c>
      <c r="F14" s="129">
        <v>36801</v>
      </c>
      <c r="G14" s="129">
        <v>35442</v>
      </c>
      <c r="H14" s="129">
        <v>30121</v>
      </c>
      <c r="I14" s="129">
        <v>24304</v>
      </c>
      <c r="J14" s="129">
        <v>4122</v>
      </c>
      <c r="K14" s="129">
        <v>1301</v>
      </c>
      <c r="L14" s="129">
        <v>585</v>
      </c>
    </row>
    <row r="15" spans="1:15" ht="16.5" customHeight="1">
      <c r="A15" s="128" t="s">
        <v>71</v>
      </c>
      <c r="B15" s="129">
        <v>35709</v>
      </c>
      <c r="C15" s="129">
        <v>29708</v>
      </c>
      <c r="D15" s="129">
        <v>33758</v>
      </c>
      <c r="E15" s="129">
        <v>30304</v>
      </c>
      <c r="F15" s="129">
        <v>28635</v>
      </c>
      <c r="G15" s="129">
        <v>28474</v>
      </c>
      <c r="H15" s="129">
        <v>26892</v>
      </c>
      <c r="I15" s="129">
        <v>20878</v>
      </c>
      <c r="J15" s="129">
        <v>1813</v>
      </c>
      <c r="K15" s="129">
        <v>16</v>
      </c>
      <c r="L15" s="129" t="s">
        <v>123</v>
      </c>
    </row>
    <row r="16" spans="1:15" ht="16.5" customHeight="1">
      <c r="A16" s="128" t="s">
        <v>6</v>
      </c>
      <c r="B16" s="129">
        <v>14406</v>
      </c>
      <c r="C16" s="129">
        <v>6137</v>
      </c>
      <c r="D16" s="129">
        <v>14788</v>
      </c>
      <c r="E16" s="129">
        <v>13644</v>
      </c>
      <c r="F16" s="129">
        <v>12175</v>
      </c>
      <c r="G16" s="129">
        <v>12593</v>
      </c>
      <c r="H16" s="129">
        <v>10848</v>
      </c>
      <c r="I16" s="129">
        <v>6793</v>
      </c>
      <c r="J16" s="129">
        <v>613</v>
      </c>
      <c r="K16" s="129">
        <v>291</v>
      </c>
      <c r="L16" s="129">
        <v>120</v>
      </c>
    </row>
    <row r="17" spans="1:15" ht="16.5" customHeight="1">
      <c r="A17" s="128" t="s">
        <v>9</v>
      </c>
      <c r="B17" s="129">
        <v>29957</v>
      </c>
      <c r="C17" s="129">
        <v>29288</v>
      </c>
      <c r="D17" s="129">
        <v>31054</v>
      </c>
      <c r="E17" s="129">
        <v>28286</v>
      </c>
      <c r="F17" s="129">
        <v>27120</v>
      </c>
      <c r="G17" s="129">
        <v>28221</v>
      </c>
      <c r="H17" s="129">
        <v>24714</v>
      </c>
      <c r="I17" s="129">
        <v>21001</v>
      </c>
      <c r="J17" s="129">
        <v>1003</v>
      </c>
      <c r="K17" s="129">
        <v>236</v>
      </c>
      <c r="L17" s="129">
        <v>59</v>
      </c>
    </row>
    <row r="18" spans="1:15" ht="16.5" customHeight="1">
      <c r="A18" s="128" t="s">
        <v>7</v>
      </c>
      <c r="B18" s="129">
        <v>19176</v>
      </c>
      <c r="C18" s="129">
        <v>10739</v>
      </c>
      <c r="D18" s="129">
        <v>18404</v>
      </c>
      <c r="E18" s="129">
        <v>15272</v>
      </c>
      <c r="F18" s="129">
        <v>12486</v>
      </c>
      <c r="G18" s="129">
        <v>15446</v>
      </c>
      <c r="H18" s="129">
        <v>8083</v>
      </c>
      <c r="I18" s="129">
        <v>5462</v>
      </c>
      <c r="J18" s="129">
        <v>745</v>
      </c>
      <c r="K18" s="129">
        <v>87</v>
      </c>
      <c r="L18" s="129">
        <v>9</v>
      </c>
    </row>
    <row r="19" spans="1:15" ht="16.5" customHeight="1">
      <c r="A19" s="130" t="s">
        <v>92</v>
      </c>
      <c r="B19" s="131">
        <v>28330</v>
      </c>
      <c r="C19" s="131">
        <v>22461</v>
      </c>
      <c r="D19" s="131">
        <v>26182</v>
      </c>
      <c r="E19" s="131">
        <v>21866</v>
      </c>
      <c r="F19" s="131">
        <v>19128</v>
      </c>
      <c r="G19" s="131">
        <v>30159</v>
      </c>
      <c r="H19" s="131">
        <v>21522</v>
      </c>
      <c r="I19" s="131">
        <v>15592</v>
      </c>
      <c r="J19" s="131">
        <v>2089</v>
      </c>
      <c r="K19" s="131">
        <v>251</v>
      </c>
      <c r="L19" s="131">
        <v>78</v>
      </c>
    </row>
    <row r="20" spans="1:15" ht="16.5" customHeight="1">
      <c r="A20" s="128" t="s">
        <v>5</v>
      </c>
      <c r="B20" s="129">
        <f>33990+3127</f>
        <v>37117</v>
      </c>
      <c r="C20" s="129">
        <f>26157+3127</f>
        <v>29284</v>
      </c>
      <c r="D20" s="129">
        <f>31563+2740</f>
        <v>34303</v>
      </c>
      <c r="E20" s="129">
        <f>27963+2251</f>
        <v>30214</v>
      </c>
      <c r="F20" s="129">
        <f>26085+2298</f>
        <v>28383</v>
      </c>
      <c r="G20" s="129">
        <f>26469+2244+1418</f>
        <v>30131</v>
      </c>
      <c r="H20" s="129">
        <f>20329+2572</f>
        <v>22901</v>
      </c>
      <c r="I20" s="129">
        <f>14940+1837</f>
        <v>16777</v>
      </c>
      <c r="J20" s="129">
        <f>671+327</f>
        <v>998</v>
      </c>
      <c r="K20" s="129">
        <f>223+61</f>
        <v>284</v>
      </c>
      <c r="L20" s="129">
        <f>112+20</f>
        <v>132</v>
      </c>
    </row>
    <row r="21" spans="1:15" ht="16.5" customHeight="1">
      <c r="A21" s="128" t="s">
        <v>12</v>
      </c>
      <c r="B21" s="129">
        <v>15882</v>
      </c>
      <c r="C21" s="129">
        <v>9177</v>
      </c>
      <c r="D21" s="129">
        <v>16350</v>
      </c>
      <c r="E21" s="129">
        <v>14121</v>
      </c>
      <c r="F21" s="129">
        <v>12337</v>
      </c>
      <c r="G21" s="129">
        <v>12332</v>
      </c>
      <c r="H21" s="129">
        <v>5575</v>
      </c>
      <c r="I21" s="129">
        <v>3114</v>
      </c>
      <c r="J21" s="129">
        <v>343</v>
      </c>
      <c r="K21" s="129">
        <v>13</v>
      </c>
      <c r="L21" s="129">
        <v>10</v>
      </c>
    </row>
    <row r="22" spans="1:15" ht="16.5" customHeight="1">
      <c r="A22" s="130" t="s">
        <v>93</v>
      </c>
      <c r="B22" s="131">
        <v>15466</v>
      </c>
      <c r="C22" s="131">
        <v>11558</v>
      </c>
      <c r="D22" s="131">
        <v>16040</v>
      </c>
      <c r="E22" s="131">
        <v>14925</v>
      </c>
      <c r="F22" s="131">
        <v>13874</v>
      </c>
      <c r="G22" s="131">
        <v>24165</v>
      </c>
      <c r="H22" s="131">
        <v>16353</v>
      </c>
      <c r="I22" s="131">
        <v>14146</v>
      </c>
      <c r="J22" s="131">
        <v>6361</v>
      </c>
      <c r="K22" s="131">
        <v>2279</v>
      </c>
      <c r="L22" s="131">
        <v>1049</v>
      </c>
      <c r="M22" s="25"/>
      <c r="N22" s="25"/>
      <c r="O22" s="25"/>
    </row>
    <row r="23" spans="1:15" ht="16.5" customHeight="1">
      <c r="A23" s="128" t="s">
        <v>14</v>
      </c>
      <c r="B23" s="129">
        <f>26967+1209</f>
        <v>28176</v>
      </c>
      <c r="C23" s="129">
        <f>7307+398</f>
        <v>7705</v>
      </c>
      <c r="D23" s="129">
        <f>28940+1736</f>
        <v>30676</v>
      </c>
      <c r="E23" s="129">
        <f>23804+1709</f>
        <v>25513</v>
      </c>
      <c r="F23" s="129">
        <f>21420+1787</f>
        <v>23207</v>
      </c>
      <c r="G23" s="129">
        <f>48111+2038+1502</f>
        <v>51651</v>
      </c>
      <c r="H23" s="129">
        <f>17232+1522</f>
        <v>18754</v>
      </c>
      <c r="I23" s="129">
        <f>10412+1279</f>
        <v>11691</v>
      </c>
      <c r="J23" s="129">
        <f>1197+138</f>
        <v>1335</v>
      </c>
      <c r="K23" s="129">
        <f>93+23</f>
        <v>116</v>
      </c>
      <c r="L23" s="129">
        <f>24+6</f>
        <v>30</v>
      </c>
    </row>
    <row r="24" spans="1:15" ht="16.5" customHeight="1">
      <c r="A24" s="128" t="s">
        <v>21</v>
      </c>
      <c r="B24" s="129">
        <v>25456</v>
      </c>
      <c r="C24" s="129">
        <v>25310</v>
      </c>
      <c r="D24" s="129">
        <v>24372</v>
      </c>
      <c r="E24" s="129">
        <v>22651</v>
      </c>
      <c r="F24" s="129">
        <v>22230</v>
      </c>
      <c r="G24" s="129">
        <v>23031</v>
      </c>
      <c r="H24" s="129">
        <v>20427</v>
      </c>
      <c r="I24" s="129">
        <v>16919</v>
      </c>
      <c r="J24" s="129">
        <v>412</v>
      </c>
      <c r="K24" s="129">
        <v>18</v>
      </c>
      <c r="L24" s="129">
        <v>18</v>
      </c>
    </row>
    <row r="25" spans="1:15" ht="16.5" customHeight="1">
      <c r="A25" s="128" t="s">
        <v>10</v>
      </c>
      <c r="B25" s="129">
        <v>50215</v>
      </c>
      <c r="C25" s="129">
        <v>42527</v>
      </c>
      <c r="D25" s="129">
        <v>48370</v>
      </c>
      <c r="E25" s="129">
        <v>44575</v>
      </c>
      <c r="F25" s="129">
        <v>43842</v>
      </c>
      <c r="G25" s="129">
        <v>42993</v>
      </c>
      <c r="H25" s="129">
        <v>31292</v>
      </c>
      <c r="I25" s="129">
        <v>24125</v>
      </c>
      <c r="J25" s="129">
        <v>1175</v>
      </c>
      <c r="K25" s="129">
        <v>348</v>
      </c>
      <c r="L25" s="129">
        <v>160</v>
      </c>
    </row>
    <row r="26" spans="1:15" ht="16.5" customHeight="1">
      <c r="A26" s="128" t="s">
        <v>3</v>
      </c>
      <c r="B26" s="129">
        <v>76914</v>
      </c>
      <c r="C26" s="129">
        <v>75985</v>
      </c>
      <c r="D26" s="129">
        <v>73552</v>
      </c>
      <c r="E26" s="129">
        <v>64510</v>
      </c>
      <c r="F26" s="129">
        <v>62974</v>
      </c>
      <c r="G26" s="129">
        <v>66100</v>
      </c>
      <c r="H26" s="129">
        <v>55709</v>
      </c>
      <c r="I26" s="129">
        <v>44219</v>
      </c>
      <c r="J26" s="129">
        <v>2256</v>
      </c>
      <c r="K26" s="129">
        <v>379</v>
      </c>
      <c r="L26" s="129">
        <v>88</v>
      </c>
    </row>
    <row r="27" spans="1:15" ht="16.5" customHeight="1">
      <c r="A27" s="130" t="s">
        <v>94</v>
      </c>
      <c r="B27" s="131">
        <v>12798</v>
      </c>
      <c r="C27" s="131">
        <v>8751</v>
      </c>
      <c r="D27" s="131">
        <v>16365</v>
      </c>
      <c r="E27" s="131">
        <v>13320</v>
      </c>
      <c r="F27" s="131">
        <v>11737</v>
      </c>
      <c r="G27" s="131">
        <v>15217</v>
      </c>
      <c r="H27" s="131">
        <v>9248</v>
      </c>
      <c r="I27" s="131">
        <v>7077</v>
      </c>
      <c r="J27" s="131">
        <v>1478</v>
      </c>
      <c r="K27" s="131">
        <v>10</v>
      </c>
      <c r="L27" s="131" t="s">
        <v>123</v>
      </c>
    </row>
    <row r="28" spans="1:15" ht="16.5" customHeight="1">
      <c r="A28" s="130" t="s">
        <v>96</v>
      </c>
      <c r="B28" s="131">
        <v>10695</v>
      </c>
      <c r="C28" s="131">
        <v>9304</v>
      </c>
      <c r="D28" s="131">
        <v>11347</v>
      </c>
      <c r="E28" s="131">
        <v>9419</v>
      </c>
      <c r="F28" s="131">
        <v>8288</v>
      </c>
      <c r="G28" s="131">
        <v>13830</v>
      </c>
      <c r="H28" s="131">
        <v>6004</v>
      </c>
      <c r="I28" s="131">
        <v>3972</v>
      </c>
      <c r="J28" s="131">
        <v>1440</v>
      </c>
      <c r="K28" s="131">
        <v>465</v>
      </c>
      <c r="L28" s="131">
        <v>193</v>
      </c>
    </row>
    <row r="29" spans="1:15" ht="16.5" customHeight="1">
      <c r="A29" s="128" t="s">
        <v>1</v>
      </c>
      <c r="B29" s="129">
        <v>50097</v>
      </c>
      <c r="C29" s="129">
        <v>48091</v>
      </c>
      <c r="D29" s="129">
        <v>48501</v>
      </c>
      <c r="E29" s="129">
        <v>43339</v>
      </c>
      <c r="F29" s="129">
        <v>42736</v>
      </c>
      <c r="G29" s="129">
        <v>44163</v>
      </c>
      <c r="H29" s="129">
        <v>29060</v>
      </c>
      <c r="I29" s="129">
        <v>24104</v>
      </c>
      <c r="J29" s="129">
        <v>4361</v>
      </c>
      <c r="K29" s="129">
        <v>1911</v>
      </c>
      <c r="L29" s="129">
        <v>1114</v>
      </c>
    </row>
    <row r="30" spans="1:15" s="25" customFormat="1" ht="16.5" customHeight="1">
      <c r="A30" s="130" t="s">
        <v>95</v>
      </c>
      <c r="B30" s="131">
        <v>5050</v>
      </c>
      <c r="C30" s="131">
        <v>1276</v>
      </c>
      <c r="D30" s="131">
        <v>7357</v>
      </c>
      <c r="E30" s="131">
        <v>6055</v>
      </c>
      <c r="F30" s="131">
        <v>5650</v>
      </c>
      <c r="G30" s="131">
        <v>7519</v>
      </c>
      <c r="H30" s="131">
        <v>4234</v>
      </c>
      <c r="I30" s="131">
        <v>3152</v>
      </c>
      <c r="J30" s="131">
        <v>961</v>
      </c>
      <c r="K30" s="131">
        <v>326</v>
      </c>
      <c r="L30" s="131">
        <v>229</v>
      </c>
      <c r="M30" s="41"/>
      <c r="N30" s="41"/>
      <c r="O30" s="41"/>
    </row>
    <row r="31" spans="1:15" s="25" customFormat="1" ht="16.5" customHeight="1">
      <c r="A31" s="132" t="s">
        <v>0</v>
      </c>
      <c r="B31" s="133">
        <f>115564+1771</f>
        <v>117335</v>
      </c>
      <c r="C31" s="133">
        <f>108887+1430</f>
        <v>110317</v>
      </c>
      <c r="D31" s="133">
        <f>119831+1864</f>
        <v>121695</v>
      </c>
      <c r="E31" s="133">
        <f>103697+1721</f>
        <v>105418</v>
      </c>
      <c r="F31" s="133">
        <f>97957+1760</f>
        <v>99717</v>
      </c>
      <c r="G31" s="133">
        <f>103938+1721+1451</f>
        <v>107110</v>
      </c>
      <c r="H31" s="133">
        <f>62218+1085</f>
        <v>63303</v>
      </c>
      <c r="I31" s="133">
        <f>46052+871</f>
        <v>46923</v>
      </c>
      <c r="J31" s="133">
        <f>7516+222</f>
        <v>7738</v>
      </c>
      <c r="K31" s="133">
        <f>2759+42</f>
        <v>2801</v>
      </c>
      <c r="L31" s="133">
        <f>1434+6</f>
        <v>1440</v>
      </c>
      <c r="M31" s="41"/>
      <c r="N31" s="41"/>
      <c r="O31" s="41"/>
    </row>
    <row r="32" spans="1:15" ht="16.5" customHeight="1">
      <c r="A32" s="132" t="s">
        <v>19</v>
      </c>
      <c r="B32" s="133">
        <v>23986</v>
      </c>
      <c r="C32" s="133">
        <v>10527</v>
      </c>
      <c r="D32" s="133">
        <v>23621</v>
      </c>
      <c r="E32" s="133">
        <v>20941</v>
      </c>
      <c r="F32" s="133">
        <v>20374</v>
      </c>
      <c r="G32" s="133">
        <v>20925</v>
      </c>
      <c r="H32" s="133">
        <v>13000</v>
      </c>
      <c r="I32" s="133">
        <v>8265</v>
      </c>
      <c r="J32" s="133">
        <v>1155</v>
      </c>
      <c r="K32" s="133">
        <v>159</v>
      </c>
      <c r="L32" s="133">
        <v>72</v>
      </c>
    </row>
    <row r="33" spans="1:15" s="25" customFormat="1" ht="16.5" customHeight="1">
      <c r="A33" s="134" t="s">
        <v>97</v>
      </c>
      <c r="B33" s="86">
        <v>5371</v>
      </c>
      <c r="C33" s="86">
        <v>1735</v>
      </c>
      <c r="D33" s="86">
        <v>7547</v>
      </c>
      <c r="E33" s="86">
        <v>4871</v>
      </c>
      <c r="F33" s="86">
        <v>3672</v>
      </c>
      <c r="G33" s="86">
        <v>5570</v>
      </c>
      <c r="H33" s="86">
        <v>5125</v>
      </c>
      <c r="I33" s="86">
        <v>2267</v>
      </c>
      <c r="J33" s="86">
        <v>409</v>
      </c>
      <c r="K33" s="86">
        <v>83</v>
      </c>
      <c r="L33" s="86">
        <v>38</v>
      </c>
      <c r="M33" s="41"/>
      <c r="N33" s="41"/>
      <c r="O33" s="41"/>
    </row>
    <row r="34" spans="1:15" ht="16.5" customHeight="1">
      <c r="A34" s="132" t="s">
        <v>4</v>
      </c>
      <c r="B34" s="133">
        <v>54936</v>
      </c>
      <c r="C34" s="133">
        <v>54556</v>
      </c>
      <c r="D34" s="133">
        <v>51367</v>
      </c>
      <c r="E34" s="133">
        <v>46366</v>
      </c>
      <c r="F34" s="133">
        <v>45830</v>
      </c>
      <c r="G34" s="133">
        <v>48144</v>
      </c>
      <c r="H34" s="133">
        <v>32996</v>
      </c>
      <c r="I34" s="133">
        <v>27575</v>
      </c>
      <c r="J34" s="133">
        <v>3097</v>
      </c>
      <c r="K34" s="133">
        <v>891</v>
      </c>
      <c r="L34" s="133">
        <v>348</v>
      </c>
    </row>
    <row r="35" spans="1:15" ht="16.5" customHeight="1">
      <c r="A35" s="132" t="s">
        <v>18</v>
      </c>
      <c r="B35" s="133">
        <v>76285</v>
      </c>
      <c r="C35" s="133">
        <v>75327</v>
      </c>
      <c r="D35" s="133">
        <v>74484</v>
      </c>
      <c r="E35" s="133">
        <v>70379</v>
      </c>
      <c r="F35" s="133">
        <v>70201</v>
      </c>
      <c r="G35" s="133">
        <v>66509</v>
      </c>
      <c r="H35" s="133">
        <v>58720</v>
      </c>
      <c r="I35" s="133">
        <v>52219</v>
      </c>
      <c r="J35" s="133">
        <v>333</v>
      </c>
      <c r="K35" s="133">
        <v>16</v>
      </c>
      <c r="L35" s="133">
        <v>3</v>
      </c>
    </row>
    <row r="36" spans="1:15" ht="16.5" customHeight="1">
      <c r="A36" s="132" t="s">
        <v>16</v>
      </c>
      <c r="B36" s="133">
        <f>13794+2390</f>
        <v>16184</v>
      </c>
      <c r="C36" s="133">
        <f>7700+407</f>
        <v>8107</v>
      </c>
      <c r="D36" s="133">
        <f>13078+2386</f>
        <v>15464</v>
      </c>
      <c r="E36" s="133">
        <f>11272+2124</f>
        <v>13396</v>
      </c>
      <c r="F36" s="133">
        <f>11010+2093</f>
        <v>13103</v>
      </c>
      <c r="G36" s="133">
        <f>12004+2032+1421</f>
        <v>15457</v>
      </c>
      <c r="H36" s="133">
        <f>9394+1943</f>
        <v>11337</v>
      </c>
      <c r="I36" s="133">
        <f>6934+1462</f>
        <v>8396</v>
      </c>
      <c r="J36" s="133">
        <f>1058+283</f>
        <v>1341</v>
      </c>
      <c r="K36" s="133">
        <f>414+75</f>
        <v>489</v>
      </c>
      <c r="L36" s="133">
        <f>97+20</f>
        <v>117</v>
      </c>
    </row>
    <row r="37" spans="1:15" ht="16.5" customHeight="1">
      <c r="A37" s="132" t="s">
        <v>73</v>
      </c>
      <c r="B37" s="133">
        <v>5261</v>
      </c>
      <c r="C37" s="133">
        <v>820</v>
      </c>
      <c r="D37" s="133">
        <v>5282</v>
      </c>
      <c r="E37" s="133">
        <v>4574</v>
      </c>
      <c r="F37" s="133">
        <v>4262</v>
      </c>
      <c r="G37" s="133">
        <v>3930</v>
      </c>
      <c r="H37" s="133">
        <v>643</v>
      </c>
      <c r="I37" s="133">
        <v>317</v>
      </c>
      <c r="J37" s="133">
        <v>58</v>
      </c>
      <c r="K37" s="133">
        <v>13</v>
      </c>
      <c r="L37" s="133">
        <v>4</v>
      </c>
      <c r="M37" s="25"/>
      <c r="N37" s="25"/>
      <c r="O37" s="25"/>
    </row>
    <row r="38" spans="1:15" s="25" customFormat="1" ht="12.95" customHeight="1">
      <c r="A38" s="121"/>
      <c r="B38" s="135"/>
      <c r="C38" s="135"/>
      <c r="D38" s="135"/>
      <c r="E38" s="135"/>
      <c r="F38" s="135"/>
      <c r="G38" s="121"/>
      <c r="H38" s="135"/>
      <c r="I38" s="135"/>
      <c r="J38" s="135"/>
      <c r="K38" s="135"/>
      <c r="L38" s="135"/>
    </row>
    <row r="39" spans="1:15" s="25" customFormat="1" ht="12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6" t="s">
        <v>90</v>
      </c>
    </row>
    <row r="40" spans="1:1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</row>
  </sheetData>
  <sortState ref="A6:O37">
    <sortCondition ref="A6:A37"/>
  </sortState>
  <mergeCells count="8">
    <mergeCell ref="A1:L1"/>
    <mergeCell ref="H3:L3"/>
    <mergeCell ref="K2:L2"/>
    <mergeCell ref="A3:A4"/>
    <mergeCell ref="B3:B4"/>
    <mergeCell ref="D3:F3"/>
    <mergeCell ref="C3:C4"/>
    <mergeCell ref="G3:G4"/>
  </mergeCells>
  <phoneticPr fontId="0" type="noConversion"/>
  <printOptions horizontalCentered="1"/>
  <pageMargins left="0.62992125984252001" right="0.62992125984252001" top="0.98425196850393704" bottom="0.98425196850393704" header="0.511811023622047" footer="0.511811023622047"/>
  <pageSetup paperSize="9" orientation="portrait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8"/>
  <sheetViews>
    <sheetView view="pageBreakPreview" zoomScaleSheetLayoutView="100" workbookViewId="0">
      <selection activeCell="A6" sqref="A6"/>
    </sheetView>
  </sheetViews>
  <sheetFormatPr defaultRowHeight="12.75"/>
  <cols>
    <col min="1" max="2" width="38.7109375" customWidth="1"/>
  </cols>
  <sheetData>
    <row r="1" spans="1:8" s="17" customFormat="1" ht="60" customHeight="1">
      <c r="A1" s="159" t="s">
        <v>109</v>
      </c>
      <c r="B1" s="159"/>
      <c r="C1" s="14"/>
      <c r="D1" s="14"/>
      <c r="E1" s="14"/>
      <c r="F1" s="14"/>
      <c r="G1" s="14"/>
      <c r="H1" s="14"/>
    </row>
    <row r="2" spans="1:8" s="2" customFormat="1" ht="12.95" customHeight="1">
      <c r="A2" s="100" t="s">
        <v>102</v>
      </c>
      <c r="B2" s="101" t="s">
        <v>51</v>
      </c>
    </row>
    <row r="3" spans="1:8" ht="26.1" customHeight="1">
      <c r="A3" s="138" t="s">
        <v>28</v>
      </c>
      <c r="B3" s="139" t="s">
        <v>55</v>
      </c>
    </row>
    <row r="4" spans="1:8" ht="18" customHeight="1">
      <c r="A4" s="140" t="s">
        <v>56</v>
      </c>
      <c r="B4" s="141">
        <f>SUM(B5:B36)</f>
        <v>737092</v>
      </c>
    </row>
    <row r="5" spans="1:8" ht="18" customHeight="1">
      <c r="A5" s="128" t="s">
        <v>8</v>
      </c>
      <c r="B5" s="142">
        <v>45000</v>
      </c>
    </row>
    <row r="6" spans="1:8" ht="18" customHeight="1">
      <c r="A6" s="130" t="s">
        <v>91</v>
      </c>
      <c r="B6" s="143">
        <v>8500</v>
      </c>
      <c r="C6" s="2"/>
      <c r="D6" s="2"/>
      <c r="E6" s="2"/>
      <c r="F6" s="2"/>
      <c r="G6" s="2"/>
      <c r="H6" s="2"/>
    </row>
    <row r="7" spans="1:8" ht="18" customHeight="1">
      <c r="A7" s="128" t="s">
        <v>13</v>
      </c>
      <c r="B7" s="142">
        <f>29560+5000</f>
        <v>34560</v>
      </c>
    </row>
    <row r="8" spans="1:8" ht="18" customHeight="1">
      <c r="A8" s="128" t="s">
        <v>11</v>
      </c>
      <c r="B8" s="142">
        <v>7262</v>
      </c>
    </row>
    <row r="9" spans="1:8" ht="18" customHeight="1">
      <c r="A9" s="128" t="s">
        <v>20</v>
      </c>
      <c r="B9" s="142" t="s">
        <v>123</v>
      </c>
    </row>
    <row r="10" spans="1:8" ht="18" customHeight="1">
      <c r="A10" s="128" t="s">
        <v>2</v>
      </c>
      <c r="B10" s="142">
        <v>9630</v>
      </c>
    </row>
    <row r="11" spans="1:8" ht="18" customHeight="1">
      <c r="A11" s="128" t="s">
        <v>17</v>
      </c>
      <c r="B11" s="142">
        <v>25625</v>
      </c>
    </row>
    <row r="12" spans="1:8" ht="18" customHeight="1">
      <c r="A12" s="128" t="s">
        <v>69</v>
      </c>
      <c r="B12" s="142">
        <f>30000+600</f>
        <v>30600</v>
      </c>
    </row>
    <row r="13" spans="1:8" ht="18" customHeight="1">
      <c r="A13" s="128" t="s">
        <v>70</v>
      </c>
      <c r="B13" s="142">
        <v>20000</v>
      </c>
    </row>
    <row r="14" spans="1:8" ht="18" customHeight="1">
      <c r="A14" s="128" t="s">
        <v>71</v>
      </c>
      <c r="B14" s="142">
        <v>26000</v>
      </c>
    </row>
    <row r="15" spans="1:8" ht="18" customHeight="1">
      <c r="A15" s="128" t="s">
        <v>6</v>
      </c>
      <c r="B15" s="142" t="s">
        <v>123</v>
      </c>
    </row>
    <row r="16" spans="1:8" ht="18" customHeight="1">
      <c r="A16" s="128" t="s">
        <v>9</v>
      </c>
      <c r="B16" s="142">
        <v>30000</v>
      </c>
    </row>
    <row r="17" spans="1:8" ht="18" customHeight="1">
      <c r="A17" s="128" t="s">
        <v>7</v>
      </c>
      <c r="B17" s="142">
        <v>45000</v>
      </c>
    </row>
    <row r="18" spans="1:8" ht="18" customHeight="1">
      <c r="A18" s="130" t="s">
        <v>92</v>
      </c>
      <c r="B18" s="143">
        <v>5500</v>
      </c>
      <c r="C18" s="2"/>
      <c r="D18" s="2"/>
      <c r="E18" s="2"/>
      <c r="F18" s="2"/>
      <c r="G18" s="2"/>
      <c r="H18" s="2"/>
    </row>
    <row r="19" spans="1:8" ht="18" customHeight="1">
      <c r="A19" s="128" t="s">
        <v>5</v>
      </c>
      <c r="B19" s="142">
        <f>21800+2000</f>
        <v>23800</v>
      </c>
    </row>
    <row r="20" spans="1:8" ht="18" customHeight="1">
      <c r="A20" s="128" t="s">
        <v>12</v>
      </c>
      <c r="B20" s="142">
        <v>7130</v>
      </c>
    </row>
    <row r="21" spans="1:8" ht="18" customHeight="1">
      <c r="A21" s="130" t="s">
        <v>93</v>
      </c>
      <c r="B21" s="143">
        <v>5300</v>
      </c>
    </row>
    <row r="22" spans="1:8" ht="18" customHeight="1">
      <c r="A22" s="128" t="s">
        <v>72</v>
      </c>
      <c r="B22" s="142">
        <f>47700+1200</f>
        <v>48900</v>
      </c>
    </row>
    <row r="23" spans="1:8" ht="18" customHeight="1">
      <c r="A23" s="128" t="s">
        <v>21</v>
      </c>
      <c r="B23" s="142">
        <v>2000</v>
      </c>
    </row>
    <row r="24" spans="1:8" ht="18" customHeight="1">
      <c r="A24" s="128" t="s">
        <v>10</v>
      </c>
      <c r="B24" s="142">
        <v>40070</v>
      </c>
    </row>
    <row r="25" spans="1:8" ht="18" customHeight="1">
      <c r="A25" s="128" t="s">
        <v>3</v>
      </c>
      <c r="B25" s="142">
        <v>20000</v>
      </c>
    </row>
    <row r="26" spans="1:8" ht="18" customHeight="1">
      <c r="A26" s="130" t="s">
        <v>94</v>
      </c>
      <c r="B26" s="143">
        <v>15000</v>
      </c>
    </row>
    <row r="27" spans="1:8" ht="18" customHeight="1">
      <c r="A27" s="130" t="s">
        <v>96</v>
      </c>
      <c r="B27" s="143">
        <v>10000</v>
      </c>
    </row>
    <row r="28" spans="1:8" ht="18" customHeight="1">
      <c r="A28" s="128" t="s">
        <v>1</v>
      </c>
      <c r="B28" s="142">
        <v>40050</v>
      </c>
    </row>
    <row r="29" spans="1:8" ht="18" customHeight="1">
      <c r="A29" s="130" t="s">
        <v>95</v>
      </c>
      <c r="B29" s="142" t="s">
        <v>123</v>
      </c>
    </row>
    <row r="30" spans="1:8" s="2" customFormat="1" ht="18" customHeight="1">
      <c r="A30" s="144" t="s">
        <v>0</v>
      </c>
      <c r="B30" s="142">
        <v>1500</v>
      </c>
      <c r="C30"/>
      <c r="D30"/>
      <c r="E30"/>
      <c r="F30"/>
      <c r="G30"/>
      <c r="H30"/>
    </row>
    <row r="31" spans="1:8" s="2" customFormat="1" ht="18" customHeight="1">
      <c r="A31" s="144" t="s">
        <v>19</v>
      </c>
      <c r="B31" s="142">
        <v>19000</v>
      </c>
      <c r="C31"/>
      <c r="D31"/>
      <c r="E31"/>
      <c r="F31"/>
      <c r="G31"/>
      <c r="H31"/>
    </row>
    <row r="32" spans="1:8" ht="18" customHeight="1">
      <c r="A32" s="90" t="s">
        <v>97</v>
      </c>
      <c r="B32" s="143">
        <v>25400</v>
      </c>
    </row>
    <row r="33" spans="1:2" ht="18" customHeight="1">
      <c r="A33" s="144" t="s">
        <v>4</v>
      </c>
      <c r="B33" s="142">
        <v>94140</v>
      </c>
    </row>
    <row r="34" spans="1:2" ht="18" customHeight="1">
      <c r="A34" s="144" t="s">
        <v>18</v>
      </c>
      <c r="B34" s="142">
        <v>63350</v>
      </c>
    </row>
    <row r="35" spans="1:2" ht="18" customHeight="1">
      <c r="A35" s="144" t="s">
        <v>16</v>
      </c>
      <c r="B35" s="142">
        <f>32200+1575</f>
        <v>33775</v>
      </c>
    </row>
    <row r="36" spans="1:2" ht="18" customHeight="1">
      <c r="A36" s="144" t="s">
        <v>73</v>
      </c>
      <c r="B36" s="142" t="s">
        <v>123</v>
      </c>
    </row>
    <row r="37" spans="1:2">
      <c r="A37" s="145"/>
      <c r="B37" s="135"/>
    </row>
    <row r="38" spans="1:2">
      <c r="A38" s="146"/>
      <c r="B38" s="136" t="s">
        <v>90</v>
      </c>
    </row>
  </sheetData>
  <sortState ref="A5:H36">
    <sortCondition ref="A5:A36"/>
  </sortState>
  <mergeCells count="1">
    <mergeCell ref="A1:B1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Table 39</vt:lpstr>
      <vt:lpstr>Table 40</vt:lpstr>
      <vt:lpstr>Table 41</vt:lpstr>
      <vt:lpstr>Table 42</vt:lpstr>
      <vt:lpstr>Table 43</vt:lpstr>
      <vt:lpstr>Table 44</vt:lpstr>
      <vt:lpstr>Table 45-46</vt:lpstr>
      <vt:lpstr>Table 47</vt:lpstr>
      <vt:lpstr>Table 48</vt:lpstr>
      <vt:lpstr>Table 49</vt:lpstr>
      <vt:lpstr>'Table 39'!Print_Area</vt:lpstr>
      <vt:lpstr>'Table 40'!Print_Area</vt:lpstr>
      <vt:lpstr>'Table 41'!Print_Area</vt:lpstr>
      <vt:lpstr>'Table 42'!Print_Area</vt:lpstr>
      <vt:lpstr>'Table 43'!Print_Area</vt:lpstr>
      <vt:lpstr>'Table 44'!Print_Area</vt:lpstr>
      <vt:lpstr>'Table 45-46'!Print_Area</vt:lpstr>
      <vt:lpstr>'Table 47'!Print_Area</vt:lpstr>
      <vt:lpstr>'Table 49'!Print_Area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Jawad Hussain</cp:lastModifiedBy>
  <cp:lastPrinted>2021-08-12T06:24:26Z</cp:lastPrinted>
  <dcterms:created xsi:type="dcterms:W3CDTF">2002-04-03T05:22:49Z</dcterms:created>
  <dcterms:modified xsi:type="dcterms:W3CDTF">2021-08-12T06:47:52Z</dcterms:modified>
</cp:coreProperties>
</file>