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Health\"/>
    </mc:Choice>
  </mc:AlternateContent>
  <bookViews>
    <workbookView xWindow="-120" yWindow="-120" windowWidth="29040" windowHeight="15840" activeTab="1"/>
  </bookViews>
  <sheets>
    <sheet name="Table 123" sheetId="1" r:id="rId1"/>
    <sheet name="Table 124" sheetId="22" r:id="rId2"/>
    <sheet name="Table125" sheetId="23" r:id="rId3"/>
    <sheet name="Table 126" sheetId="3" r:id="rId4"/>
    <sheet name="Table 127" sheetId="4" r:id="rId5"/>
    <sheet name="Table 128" sheetId="18" r:id="rId6"/>
    <sheet name="Table 129" sheetId="19" r:id="rId7"/>
    <sheet name="Table 130-131" sheetId="13" r:id="rId8"/>
    <sheet name="Table 132" sheetId="14" r:id="rId9"/>
    <sheet name="Table 133" sheetId="15" r:id="rId10"/>
    <sheet name="Table 134" sheetId="16" r:id="rId11"/>
    <sheet name="Table 135" sheetId="17" r:id="rId12"/>
  </sheets>
  <definedNames>
    <definedName name="_xlnm.Print_Area" localSheetId="1">'Table 124'!$A$1:$M$330</definedName>
    <definedName name="_xlnm.Print_Area" localSheetId="3">'Table 126'!$A$1:$J$39</definedName>
    <definedName name="_xlnm.Print_Area" localSheetId="4">'Table 127'!$A$1:$I$111</definedName>
    <definedName name="_xlnm.Print_Area" localSheetId="5">'Table 128'!$A$1:$I$38</definedName>
    <definedName name="_xlnm.Print_Area" localSheetId="7">'Table 130-131'!$A$1:$T$40</definedName>
    <definedName name="_xlnm.Print_Area" localSheetId="8">'Table 132'!$A$1:$D$38</definedName>
    <definedName name="_xlnm.Print_Area" localSheetId="10">'Table 134'!$A$1:$L$115</definedName>
    <definedName name="_xlnm.Print_Area" localSheetId="11">'Table 135'!$A$1:$D$114</definedName>
    <definedName name="_xlnm.Print_Area" localSheetId="2">Table125!$A$1:$G$326</definedName>
  </definedNames>
  <calcPr calcId="162913" iterateDelta="0"/>
</workbook>
</file>

<file path=xl/calcChain.xml><?xml version="1.0" encoding="utf-8"?>
<calcChain xmlns="http://schemas.openxmlformats.org/spreadsheetml/2006/main">
  <c r="C324" i="23" l="1"/>
  <c r="B324" i="23"/>
  <c r="C323" i="23"/>
  <c r="B323" i="23"/>
  <c r="G322" i="23"/>
  <c r="F322" i="23"/>
  <c r="E322" i="23"/>
  <c r="C322" i="23" s="1"/>
  <c r="D322" i="23"/>
  <c r="C321" i="23"/>
  <c r="B321" i="23"/>
  <c r="C320" i="23"/>
  <c r="B320" i="23"/>
  <c r="C319" i="23"/>
  <c r="B319" i="23"/>
  <c r="C318" i="23"/>
  <c r="B318" i="23"/>
  <c r="C317" i="23"/>
  <c r="B317" i="23"/>
  <c r="C316" i="23"/>
  <c r="B316" i="23"/>
  <c r="C315" i="23"/>
  <c r="B315" i="23"/>
  <c r="G314" i="23"/>
  <c r="F314" i="23"/>
  <c r="E314" i="23"/>
  <c r="C314" i="23" s="1"/>
  <c r="D314" i="23"/>
  <c r="C313" i="23"/>
  <c r="B313" i="23"/>
  <c r="C312" i="23"/>
  <c r="B312" i="23"/>
  <c r="C311" i="23"/>
  <c r="B311" i="23"/>
  <c r="C310" i="23"/>
  <c r="B310" i="23"/>
  <c r="C309" i="23"/>
  <c r="B309" i="23"/>
  <c r="G308" i="23"/>
  <c r="F308" i="23"/>
  <c r="E308" i="23"/>
  <c r="C308" i="23" s="1"/>
  <c r="D308" i="23"/>
  <c r="C307" i="23"/>
  <c r="B307" i="23"/>
  <c r="C306" i="23"/>
  <c r="B306" i="23"/>
  <c r="C305" i="23"/>
  <c r="B305" i="23"/>
  <c r="C304" i="23"/>
  <c r="B304" i="23"/>
  <c r="C303" i="23"/>
  <c r="B303" i="23"/>
  <c r="C302" i="23"/>
  <c r="B302" i="23"/>
  <c r="G301" i="23"/>
  <c r="F301" i="23"/>
  <c r="E301" i="23"/>
  <c r="D301" i="23"/>
  <c r="C301" i="23"/>
  <c r="B301" i="23"/>
  <c r="C300" i="23"/>
  <c r="B300" i="23"/>
  <c r="G299" i="23"/>
  <c r="F299" i="23"/>
  <c r="E299" i="23"/>
  <c r="D299" i="23"/>
  <c r="C299" i="23"/>
  <c r="B299" i="23"/>
  <c r="C298" i="23"/>
  <c r="B298" i="23"/>
  <c r="C297" i="23"/>
  <c r="B297" i="23"/>
  <c r="G296" i="23"/>
  <c r="F296" i="23"/>
  <c r="E296" i="23"/>
  <c r="C296" i="23" s="1"/>
  <c r="D296" i="23"/>
  <c r="B296" i="23" s="1"/>
  <c r="C295" i="23"/>
  <c r="B295" i="23"/>
  <c r="C294" i="23"/>
  <c r="B294" i="23"/>
  <c r="C293" i="23"/>
  <c r="B293" i="23"/>
  <c r="C292" i="23"/>
  <c r="B292" i="23"/>
  <c r="C291" i="23"/>
  <c r="B291" i="23"/>
  <c r="G290" i="23"/>
  <c r="F290" i="23"/>
  <c r="E290" i="23"/>
  <c r="C290" i="23" s="1"/>
  <c r="D290" i="23"/>
  <c r="C284" i="23"/>
  <c r="B284" i="23"/>
  <c r="C283" i="23"/>
  <c r="B283" i="23"/>
  <c r="C282" i="23"/>
  <c r="B282" i="23"/>
  <c r="G281" i="23"/>
  <c r="F281" i="23"/>
  <c r="E281" i="23"/>
  <c r="C281" i="23" s="1"/>
  <c r="D281" i="23"/>
  <c r="B281" i="23" s="1"/>
  <c r="C280" i="23"/>
  <c r="B280" i="23"/>
  <c r="C279" i="23"/>
  <c r="B279" i="23"/>
  <c r="G278" i="23"/>
  <c r="F278" i="23"/>
  <c r="E278" i="23"/>
  <c r="C278" i="23" s="1"/>
  <c r="D278" i="23"/>
  <c r="B278" i="23" s="1"/>
  <c r="C277" i="23"/>
  <c r="B277" i="23"/>
  <c r="C276" i="23"/>
  <c r="B276" i="23"/>
  <c r="G275" i="23"/>
  <c r="F275" i="23"/>
  <c r="E275" i="23"/>
  <c r="D275" i="23"/>
  <c r="C274" i="23"/>
  <c r="B274" i="23"/>
  <c r="C273" i="23"/>
  <c r="B273" i="23"/>
  <c r="C272" i="23"/>
  <c r="B272" i="23"/>
  <c r="C271" i="23"/>
  <c r="B271" i="23"/>
  <c r="G270" i="23"/>
  <c r="F270" i="23"/>
  <c r="E270" i="23"/>
  <c r="D270" i="23"/>
  <c r="C270" i="23"/>
  <c r="B270" i="23"/>
  <c r="C269" i="23"/>
  <c r="B269" i="23"/>
  <c r="C268" i="23"/>
  <c r="B268" i="23"/>
  <c r="G267" i="23"/>
  <c r="F267" i="23"/>
  <c r="E267" i="23"/>
  <c r="C267" i="23" s="1"/>
  <c r="D267" i="23"/>
  <c r="B267" i="23" s="1"/>
  <c r="C266" i="23"/>
  <c r="B266" i="23"/>
  <c r="C265" i="23"/>
  <c r="B265" i="23"/>
  <c r="C264" i="23"/>
  <c r="B264" i="23"/>
  <c r="C263" i="23"/>
  <c r="B263" i="23"/>
  <c r="G262" i="23"/>
  <c r="C262" i="23" s="1"/>
  <c r="F262" i="23"/>
  <c r="E262" i="23"/>
  <c r="D262" i="23"/>
  <c r="B262" i="23" s="1"/>
  <c r="C261" i="23"/>
  <c r="B261" i="23"/>
  <c r="C260" i="23"/>
  <c r="B260" i="23"/>
  <c r="G259" i="23"/>
  <c r="F259" i="23"/>
  <c r="E259" i="23"/>
  <c r="C259" i="23" s="1"/>
  <c r="D259" i="23"/>
  <c r="C258" i="23"/>
  <c r="B258" i="23"/>
  <c r="C257" i="23"/>
  <c r="B257" i="23"/>
  <c r="G256" i="23"/>
  <c r="F256" i="23"/>
  <c r="B256" i="23" s="1"/>
  <c r="E256" i="23"/>
  <c r="D256" i="23"/>
  <c r="C255" i="23"/>
  <c r="B255" i="23"/>
  <c r="C254" i="23"/>
  <c r="B254" i="23"/>
  <c r="C253" i="23"/>
  <c r="B253" i="23"/>
  <c r="C252" i="23"/>
  <c r="B252" i="23"/>
  <c r="G251" i="23"/>
  <c r="F251" i="23"/>
  <c r="E251" i="23"/>
  <c r="D251" i="23"/>
  <c r="C245" i="23"/>
  <c r="B245" i="23"/>
  <c r="C244" i="23"/>
  <c r="B244" i="23"/>
  <c r="C243" i="23"/>
  <c r="B243" i="23"/>
  <c r="C242" i="23"/>
  <c r="B242" i="23"/>
  <c r="C241" i="23"/>
  <c r="B241" i="23"/>
  <c r="C240" i="23"/>
  <c r="B240" i="23"/>
  <c r="C239" i="23"/>
  <c r="B239" i="23"/>
  <c r="G238" i="23"/>
  <c r="F238" i="23"/>
  <c r="E238" i="23"/>
  <c r="D238" i="23"/>
  <c r="C237" i="23"/>
  <c r="B237" i="23"/>
  <c r="C236" i="23"/>
  <c r="B236" i="23"/>
  <c r="C235" i="23"/>
  <c r="B235" i="23"/>
  <c r="G234" i="23"/>
  <c r="F234" i="23"/>
  <c r="E234" i="23"/>
  <c r="C234" i="23" s="1"/>
  <c r="D234" i="23"/>
  <c r="C233" i="23"/>
  <c r="B233" i="23"/>
  <c r="C232" i="23"/>
  <c r="B232" i="23"/>
  <c r="C231" i="23"/>
  <c r="B231" i="23"/>
  <c r="C230" i="23"/>
  <c r="B230" i="23"/>
  <c r="G229" i="23"/>
  <c r="F229" i="23"/>
  <c r="E229" i="23"/>
  <c r="C229" i="23" s="1"/>
  <c r="D229" i="23"/>
  <c r="B229" i="23" s="1"/>
  <c r="C228" i="23"/>
  <c r="B228" i="23"/>
  <c r="C227" i="23"/>
  <c r="B227" i="23"/>
  <c r="G226" i="23"/>
  <c r="F226" i="23"/>
  <c r="E226" i="23"/>
  <c r="D226" i="23"/>
  <c r="C225" i="23"/>
  <c r="B225" i="23"/>
  <c r="C224" i="23"/>
  <c r="B224" i="23"/>
  <c r="C223" i="23"/>
  <c r="B223" i="23"/>
  <c r="C222" i="23"/>
  <c r="B222" i="23"/>
  <c r="G221" i="23"/>
  <c r="F221" i="23"/>
  <c r="E221" i="23"/>
  <c r="C221" i="23" s="1"/>
  <c r="D221" i="23"/>
  <c r="B221" i="23" s="1"/>
  <c r="C220" i="23"/>
  <c r="B220" i="23"/>
  <c r="C219" i="23"/>
  <c r="B219" i="23"/>
  <c r="G218" i="23"/>
  <c r="F218" i="23"/>
  <c r="E218" i="23"/>
  <c r="D218" i="23"/>
  <c r="C217" i="23"/>
  <c r="B217" i="23"/>
  <c r="C216" i="23"/>
  <c r="B216" i="23"/>
  <c r="G215" i="23"/>
  <c r="C215" i="23" s="1"/>
  <c r="F215" i="23"/>
  <c r="F210" i="23" s="1"/>
  <c r="E215" i="23"/>
  <c r="D215" i="23"/>
  <c r="C214" i="23"/>
  <c r="B214" i="23"/>
  <c r="C213" i="23"/>
  <c r="B213" i="23"/>
  <c r="C212" i="23"/>
  <c r="B212" i="23"/>
  <c r="G211" i="23"/>
  <c r="G210" i="23" s="1"/>
  <c r="F211" i="23"/>
  <c r="B211" i="23" s="1"/>
  <c r="E211" i="23"/>
  <c r="D211" i="23"/>
  <c r="E210" i="23"/>
  <c r="C204" i="23"/>
  <c r="B204" i="23"/>
  <c r="C203" i="23"/>
  <c r="B203" i="23"/>
  <c r="C202" i="23"/>
  <c r="B202" i="23"/>
  <c r="C201" i="23"/>
  <c r="B201" i="23"/>
  <c r="C200" i="23"/>
  <c r="B200" i="23"/>
  <c r="C199" i="23"/>
  <c r="B199" i="23"/>
  <c r="C198" i="23"/>
  <c r="B198" i="23"/>
  <c r="C197" i="23"/>
  <c r="B197" i="23"/>
  <c r="G196" i="23"/>
  <c r="F196" i="23"/>
  <c r="E196" i="23"/>
  <c r="D196" i="23"/>
  <c r="C195" i="23"/>
  <c r="B195" i="23"/>
  <c r="C194" i="23"/>
  <c r="B194" i="23"/>
  <c r="G193" i="23"/>
  <c r="F193" i="23"/>
  <c r="E193" i="23"/>
  <c r="D193" i="23"/>
  <c r="C192" i="23"/>
  <c r="B192" i="23"/>
  <c r="G191" i="23"/>
  <c r="F191" i="23"/>
  <c r="E191" i="23"/>
  <c r="C191" i="23" s="1"/>
  <c r="D191" i="23"/>
  <c r="C190" i="23"/>
  <c r="B190" i="23"/>
  <c r="C189" i="23"/>
  <c r="B189" i="23"/>
  <c r="G188" i="23"/>
  <c r="F188" i="23"/>
  <c r="B188" i="23" s="1"/>
  <c r="E188" i="23"/>
  <c r="C188" i="23" s="1"/>
  <c r="D188" i="23"/>
  <c r="C187" i="23"/>
  <c r="B187" i="23"/>
  <c r="C186" i="23"/>
  <c r="B186" i="23"/>
  <c r="G185" i="23"/>
  <c r="F185" i="23"/>
  <c r="E185" i="23"/>
  <c r="C185" i="23" s="1"/>
  <c r="D185" i="23"/>
  <c r="C184" i="23"/>
  <c r="B184" i="23"/>
  <c r="C183" i="23"/>
  <c r="B183" i="23"/>
  <c r="C182" i="23"/>
  <c r="B182" i="23"/>
  <c r="C181" i="23"/>
  <c r="B181" i="23"/>
  <c r="C180" i="23"/>
  <c r="B180" i="23"/>
  <c r="G179" i="23"/>
  <c r="F179" i="23"/>
  <c r="E179" i="23"/>
  <c r="C179" i="23" s="1"/>
  <c r="D179" i="23"/>
  <c r="C173" i="23"/>
  <c r="B173" i="23"/>
  <c r="G172" i="23"/>
  <c r="F172" i="23"/>
  <c r="E172" i="23"/>
  <c r="C172" i="23" s="1"/>
  <c r="D172" i="23"/>
  <c r="B172" i="23" s="1"/>
  <c r="C171" i="23"/>
  <c r="B171" i="23"/>
  <c r="G170" i="23"/>
  <c r="F170" i="23"/>
  <c r="E170" i="23"/>
  <c r="D170" i="23"/>
  <c r="B170" i="23" s="1"/>
  <c r="C170" i="23"/>
  <c r="C169" i="23"/>
  <c r="B169" i="23"/>
  <c r="C168" i="23"/>
  <c r="B168" i="23"/>
  <c r="G167" i="23"/>
  <c r="F167" i="23"/>
  <c r="E167" i="23"/>
  <c r="C167" i="23" s="1"/>
  <c r="D167" i="23"/>
  <c r="C166" i="23"/>
  <c r="B166" i="23"/>
  <c r="C165" i="23"/>
  <c r="B165" i="23"/>
  <c r="C164" i="23"/>
  <c r="B164" i="23"/>
  <c r="G163" i="23"/>
  <c r="F163" i="23"/>
  <c r="E163" i="23"/>
  <c r="D163" i="23"/>
  <c r="B163" i="23" s="1"/>
  <c r="C162" i="23"/>
  <c r="B162" i="23"/>
  <c r="C161" i="23"/>
  <c r="B161" i="23"/>
  <c r="G160" i="23"/>
  <c r="F160" i="23"/>
  <c r="E160" i="23"/>
  <c r="C160" i="23" s="1"/>
  <c r="D160" i="23"/>
  <c r="C159" i="23"/>
  <c r="B159" i="23"/>
  <c r="C158" i="23"/>
  <c r="B158" i="23"/>
  <c r="C157" i="23"/>
  <c r="B157" i="23"/>
  <c r="G156" i="23"/>
  <c r="F156" i="23"/>
  <c r="E156" i="23"/>
  <c r="C156" i="23" s="1"/>
  <c r="D156" i="23"/>
  <c r="C155" i="23"/>
  <c r="B155" i="23"/>
  <c r="G154" i="23"/>
  <c r="F154" i="23"/>
  <c r="E154" i="23"/>
  <c r="D154" i="23"/>
  <c r="C153" i="23"/>
  <c r="B153" i="23"/>
  <c r="C152" i="23"/>
  <c r="B152" i="23"/>
  <c r="C151" i="23"/>
  <c r="B151" i="23"/>
  <c r="G150" i="23"/>
  <c r="F150" i="23"/>
  <c r="E150" i="23"/>
  <c r="D150" i="23"/>
  <c r="C150" i="23"/>
  <c r="C149" i="23"/>
  <c r="B149" i="23"/>
  <c r="G148" i="23"/>
  <c r="F148" i="23"/>
  <c r="E148" i="23"/>
  <c r="C148" i="23" s="1"/>
  <c r="D148" i="23"/>
  <c r="B148" i="23" s="1"/>
  <c r="C147" i="23"/>
  <c r="B147" i="23"/>
  <c r="C146" i="23"/>
  <c r="B146" i="23"/>
  <c r="C145" i="23"/>
  <c r="B145" i="23"/>
  <c r="G144" i="23"/>
  <c r="F144" i="23"/>
  <c r="E144" i="23"/>
  <c r="C144" i="23" s="1"/>
  <c r="D144" i="23"/>
  <c r="B144" i="23" s="1"/>
  <c r="C138" i="23"/>
  <c r="B138" i="23"/>
  <c r="C137" i="23"/>
  <c r="B137" i="23"/>
  <c r="G136" i="23"/>
  <c r="G133" i="23" s="1"/>
  <c r="G107" i="23" s="1"/>
  <c r="F136" i="23"/>
  <c r="E136" i="23"/>
  <c r="C136" i="23" s="1"/>
  <c r="D136" i="23"/>
  <c r="B136" i="23" s="1"/>
  <c r="C135" i="23"/>
  <c r="B135" i="23"/>
  <c r="C134" i="23"/>
  <c r="B134" i="23"/>
  <c r="F133" i="23"/>
  <c r="E133" i="23"/>
  <c r="D133" i="23"/>
  <c r="C132" i="23"/>
  <c r="B132" i="23"/>
  <c r="C131" i="23"/>
  <c r="B131" i="23"/>
  <c r="C130" i="23"/>
  <c r="B130" i="23"/>
  <c r="G129" i="23"/>
  <c r="C129" i="23" s="1"/>
  <c r="F129" i="23"/>
  <c r="E129" i="23"/>
  <c r="D129" i="23"/>
  <c r="C128" i="23"/>
  <c r="B128" i="23"/>
  <c r="C127" i="23"/>
  <c r="B127" i="23"/>
  <c r="C126" i="23"/>
  <c r="B126" i="23"/>
  <c r="C125" i="23"/>
  <c r="B125" i="23"/>
  <c r="C124" i="23"/>
  <c r="B124" i="23"/>
  <c r="C123" i="23"/>
  <c r="B123" i="23"/>
  <c r="C122" i="23"/>
  <c r="B122" i="23"/>
  <c r="G121" i="23"/>
  <c r="F121" i="23"/>
  <c r="E121" i="23"/>
  <c r="D121" i="23"/>
  <c r="C121" i="23"/>
  <c r="C120" i="23"/>
  <c r="B120" i="23"/>
  <c r="C119" i="23"/>
  <c r="B119" i="23"/>
  <c r="G118" i="23"/>
  <c r="F118" i="23"/>
  <c r="E118" i="23"/>
  <c r="D118" i="23"/>
  <c r="C117" i="23"/>
  <c r="B117" i="23"/>
  <c r="C116" i="23"/>
  <c r="B116" i="23"/>
  <c r="G115" i="23"/>
  <c r="C115" i="23" s="1"/>
  <c r="F115" i="23"/>
  <c r="E115" i="23"/>
  <c r="D115" i="23"/>
  <c r="B115" i="23" s="1"/>
  <c r="C114" i="23"/>
  <c r="B114" i="23"/>
  <c r="C113" i="23"/>
  <c r="B113" i="23"/>
  <c r="G112" i="23"/>
  <c r="F112" i="23"/>
  <c r="E112" i="23"/>
  <c r="D112" i="23"/>
  <c r="B112" i="23" s="1"/>
  <c r="C111" i="23"/>
  <c r="B111" i="23"/>
  <c r="G110" i="23"/>
  <c r="F110" i="23"/>
  <c r="E110" i="23"/>
  <c r="C110" i="23" s="1"/>
  <c r="D110" i="23"/>
  <c r="B110" i="23"/>
  <c r="C109" i="23"/>
  <c r="B109" i="23"/>
  <c r="G108" i="23"/>
  <c r="F108" i="23"/>
  <c r="E108" i="23"/>
  <c r="D108" i="23"/>
  <c r="B108" i="23" s="1"/>
  <c r="C101" i="23"/>
  <c r="B101" i="23"/>
  <c r="C100" i="23"/>
  <c r="B100" i="23"/>
  <c r="C99" i="23"/>
  <c r="B99" i="23"/>
  <c r="C98" i="23"/>
  <c r="B98" i="23"/>
  <c r="C97" i="23"/>
  <c r="B97" i="23"/>
  <c r="C96" i="23"/>
  <c r="B96" i="23"/>
  <c r="C95" i="23"/>
  <c r="B95" i="23"/>
  <c r="G92" i="23"/>
  <c r="F92" i="23"/>
  <c r="E92" i="23"/>
  <c r="C92" i="23" s="1"/>
  <c r="D92" i="23"/>
  <c r="C91" i="23"/>
  <c r="B91" i="23"/>
  <c r="G90" i="23"/>
  <c r="F90" i="23"/>
  <c r="E90" i="23"/>
  <c r="C90" i="23" s="1"/>
  <c r="D90" i="23"/>
  <c r="G87" i="23"/>
  <c r="F87" i="23"/>
  <c r="E87" i="23"/>
  <c r="C87" i="23" s="1"/>
  <c r="D87" i="23"/>
  <c r="B87" i="23"/>
  <c r="G84" i="23"/>
  <c r="F84" i="23"/>
  <c r="E84" i="23"/>
  <c r="D84" i="23"/>
  <c r="G78" i="23"/>
  <c r="F78" i="23"/>
  <c r="E78" i="23"/>
  <c r="D78" i="23"/>
  <c r="C78" i="23"/>
  <c r="B78" i="23"/>
  <c r="C72" i="23"/>
  <c r="B72" i="23"/>
  <c r="G71" i="23"/>
  <c r="F71" i="23"/>
  <c r="E71" i="23"/>
  <c r="C71" i="23" s="1"/>
  <c r="D71" i="23"/>
  <c r="B71" i="23" s="1"/>
  <c r="G69" i="23"/>
  <c r="C69" i="23" s="1"/>
  <c r="F69" i="23"/>
  <c r="E69" i="23"/>
  <c r="D69" i="23"/>
  <c r="G66" i="23"/>
  <c r="F66" i="23"/>
  <c r="E66" i="23"/>
  <c r="C66" i="23" s="1"/>
  <c r="D66" i="23"/>
  <c r="G61" i="23"/>
  <c r="F61" i="23"/>
  <c r="E61" i="23"/>
  <c r="C61" i="23" s="1"/>
  <c r="D61" i="23"/>
  <c r="B61" i="23" s="1"/>
  <c r="G58" i="23"/>
  <c r="F58" i="23"/>
  <c r="E58" i="23"/>
  <c r="C58" i="23" s="1"/>
  <c r="D58" i="23"/>
  <c r="G54" i="23"/>
  <c r="F54" i="23"/>
  <c r="E54" i="23"/>
  <c r="D54" i="23"/>
  <c r="C54" i="23"/>
  <c r="B54" i="23"/>
  <c r="C53" i="23"/>
  <c r="B53" i="23"/>
  <c r="G52" i="23"/>
  <c r="F52" i="23"/>
  <c r="E52" i="23"/>
  <c r="D52" i="23"/>
  <c r="C52" i="23"/>
  <c r="B52" i="23"/>
  <c r="G48" i="23"/>
  <c r="F48" i="23"/>
  <c r="B48" i="23" s="1"/>
  <c r="E48" i="23"/>
  <c r="D48" i="23"/>
  <c r="C47" i="23"/>
  <c r="B47" i="23"/>
  <c r="G46" i="23"/>
  <c r="F46" i="23"/>
  <c r="E46" i="23"/>
  <c r="D46" i="23"/>
  <c r="B46" i="23" s="1"/>
  <c r="G42" i="23"/>
  <c r="F42" i="23"/>
  <c r="E42" i="23"/>
  <c r="C42" i="23" s="1"/>
  <c r="D42" i="23"/>
  <c r="B42" i="23" s="1"/>
  <c r="G34" i="23"/>
  <c r="G31" i="23" s="1"/>
  <c r="C31" i="23" s="1"/>
  <c r="F34" i="23"/>
  <c r="F31" i="23" s="1"/>
  <c r="E34" i="23"/>
  <c r="D34" i="23"/>
  <c r="E31" i="23"/>
  <c r="D31" i="23"/>
  <c r="C30" i="23"/>
  <c r="B30" i="23"/>
  <c r="C29" i="23"/>
  <c r="B29" i="23"/>
  <c r="C28" i="23"/>
  <c r="B28" i="23"/>
  <c r="G27" i="23"/>
  <c r="F27" i="23"/>
  <c r="E27" i="23"/>
  <c r="C27" i="23" s="1"/>
  <c r="D27" i="23"/>
  <c r="G19" i="23"/>
  <c r="F19" i="23"/>
  <c r="E19" i="23"/>
  <c r="C19" i="23" s="1"/>
  <c r="D19" i="23"/>
  <c r="B19" i="23" s="1"/>
  <c r="G16" i="23"/>
  <c r="F16" i="23"/>
  <c r="E16" i="23"/>
  <c r="C16" i="23" s="1"/>
  <c r="D16" i="23"/>
  <c r="B16" i="23" s="1"/>
  <c r="G13" i="23"/>
  <c r="F13" i="23"/>
  <c r="E13" i="23"/>
  <c r="C13" i="23" s="1"/>
  <c r="D13" i="23"/>
  <c r="B13" i="23" s="1"/>
  <c r="G10" i="23"/>
  <c r="F10" i="23"/>
  <c r="E10" i="23"/>
  <c r="D10" i="23"/>
  <c r="B10" i="23" s="1"/>
  <c r="C9" i="23"/>
  <c r="B9" i="23"/>
  <c r="G8" i="23"/>
  <c r="F8" i="23"/>
  <c r="E8" i="23"/>
  <c r="D8" i="23"/>
  <c r="G6" i="23"/>
  <c r="F6" i="23"/>
  <c r="E6" i="23"/>
  <c r="C6" i="23" s="1"/>
  <c r="D6" i="23"/>
  <c r="B6" i="23" s="1"/>
  <c r="M326" i="22"/>
  <c r="L326" i="22"/>
  <c r="K326" i="22"/>
  <c r="J326" i="22"/>
  <c r="I326" i="22"/>
  <c r="H326" i="22"/>
  <c r="G326" i="22"/>
  <c r="F326" i="22"/>
  <c r="E326" i="22"/>
  <c r="D326" i="22"/>
  <c r="C326" i="22"/>
  <c r="B326" i="22"/>
  <c r="M318" i="22"/>
  <c r="L318" i="22"/>
  <c r="K318" i="22"/>
  <c r="J318" i="22"/>
  <c r="I318" i="22"/>
  <c r="H318" i="22"/>
  <c r="G318" i="22"/>
  <c r="F318" i="22"/>
  <c r="E318" i="22"/>
  <c r="D318" i="22"/>
  <c r="C318" i="22"/>
  <c r="B318" i="22"/>
  <c r="M312" i="22"/>
  <c r="L312" i="22"/>
  <c r="K312" i="22"/>
  <c r="J312" i="22"/>
  <c r="I312" i="22"/>
  <c r="H312" i="22"/>
  <c r="G312" i="22"/>
  <c r="F312" i="22"/>
  <c r="E312" i="22"/>
  <c r="D312" i="22"/>
  <c r="C312" i="22"/>
  <c r="B312" i="22"/>
  <c r="M305" i="22"/>
  <c r="L305" i="22"/>
  <c r="K305" i="22"/>
  <c r="J305" i="22"/>
  <c r="I305" i="22"/>
  <c r="H305" i="22"/>
  <c r="G305" i="22"/>
  <c r="F305" i="22"/>
  <c r="E305" i="22"/>
  <c r="D305" i="22"/>
  <c r="C305" i="22"/>
  <c r="B305" i="22"/>
  <c r="M303" i="22"/>
  <c r="L303" i="22"/>
  <c r="K303" i="22"/>
  <c r="J303" i="22"/>
  <c r="I303" i="22"/>
  <c r="H303" i="22"/>
  <c r="G303" i="22"/>
  <c r="F303" i="22"/>
  <c r="E303" i="22"/>
  <c r="D303" i="22"/>
  <c r="C303" i="22"/>
  <c r="B303" i="22"/>
  <c r="M300" i="22"/>
  <c r="L300" i="22"/>
  <c r="K300" i="22"/>
  <c r="J300" i="22"/>
  <c r="I300" i="22"/>
  <c r="H300" i="22"/>
  <c r="G300" i="22"/>
  <c r="F300" i="22"/>
  <c r="E300" i="22"/>
  <c r="D300" i="22"/>
  <c r="C300" i="22"/>
  <c r="B300" i="22"/>
  <c r="M294" i="22"/>
  <c r="L294" i="22"/>
  <c r="K294" i="22"/>
  <c r="J294" i="22"/>
  <c r="I294" i="22"/>
  <c r="H294" i="22"/>
  <c r="G294" i="22"/>
  <c r="F294" i="22"/>
  <c r="E294" i="22"/>
  <c r="D294" i="22"/>
  <c r="C294" i="22"/>
  <c r="B294" i="22"/>
  <c r="M285" i="22"/>
  <c r="L285" i="22"/>
  <c r="K285" i="22"/>
  <c r="J285" i="22"/>
  <c r="I285" i="22"/>
  <c r="H285" i="22"/>
  <c r="G285" i="22"/>
  <c r="F285" i="22"/>
  <c r="E285" i="22"/>
  <c r="D285" i="22"/>
  <c r="C285" i="22"/>
  <c r="B285" i="22"/>
  <c r="M282" i="22"/>
  <c r="L282" i="22"/>
  <c r="K282" i="22"/>
  <c r="J282" i="22"/>
  <c r="I282" i="22"/>
  <c r="H282" i="22"/>
  <c r="G282" i="22"/>
  <c r="F282" i="22"/>
  <c r="E282" i="22"/>
  <c r="D282" i="22"/>
  <c r="C282" i="22"/>
  <c r="B282" i="22"/>
  <c r="M279" i="22"/>
  <c r="L279" i="22"/>
  <c r="K279" i="22"/>
  <c r="J279" i="22"/>
  <c r="I279" i="22"/>
  <c r="H279" i="22"/>
  <c r="G279" i="22"/>
  <c r="F279" i="22"/>
  <c r="E279" i="22"/>
  <c r="D279" i="22"/>
  <c r="C279" i="22"/>
  <c r="B279" i="22"/>
  <c r="M274" i="22"/>
  <c r="L274" i="22"/>
  <c r="K274" i="22"/>
  <c r="J274" i="22"/>
  <c r="I274" i="22"/>
  <c r="H274" i="22"/>
  <c r="G274" i="22"/>
  <c r="F274" i="22"/>
  <c r="E274" i="22"/>
  <c r="D274" i="22"/>
  <c r="C274" i="22"/>
  <c r="B274" i="22"/>
  <c r="M271" i="22"/>
  <c r="L271" i="22"/>
  <c r="K271" i="22"/>
  <c r="J271" i="22"/>
  <c r="I271" i="22"/>
  <c r="H271" i="22"/>
  <c r="G271" i="22"/>
  <c r="F271" i="22"/>
  <c r="E271" i="22"/>
  <c r="D271" i="22"/>
  <c r="C271" i="22"/>
  <c r="B271" i="22"/>
  <c r="M266" i="22"/>
  <c r="L266" i="22"/>
  <c r="K266" i="22"/>
  <c r="J266" i="22"/>
  <c r="I266" i="22"/>
  <c r="H266" i="22"/>
  <c r="G266" i="22"/>
  <c r="F266" i="22"/>
  <c r="E266" i="22"/>
  <c r="D266" i="22"/>
  <c r="C266" i="22"/>
  <c r="B266" i="22"/>
  <c r="M263" i="22"/>
  <c r="L263" i="22"/>
  <c r="K263" i="22"/>
  <c r="J263" i="22"/>
  <c r="I263" i="22"/>
  <c r="H263" i="22"/>
  <c r="G263" i="22"/>
  <c r="F263" i="22"/>
  <c r="E263" i="22"/>
  <c r="D263" i="22"/>
  <c r="C263" i="22"/>
  <c r="B263" i="22"/>
  <c r="M260" i="22"/>
  <c r="L260" i="22"/>
  <c r="K260" i="22"/>
  <c r="J260" i="22"/>
  <c r="I260" i="22"/>
  <c r="H260" i="22"/>
  <c r="G260" i="22"/>
  <c r="F260" i="22"/>
  <c r="E260" i="22"/>
  <c r="D260" i="22"/>
  <c r="C260" i="22"/>
  <c r="B260" i="22"/>
  <c r="M255" i="22"/>
  <c r="L255" i="22"/>
  <c r="K255" i="22"/>
  <c r="J255" i="22"/>
  <c r="I255" i="22"/>
  <c r="H255" i="22"/>
  <c r="G255" i="22"/>
  <c r="F255" i="22"/>
  <c r="E255" i="22"/>
  <c r="D255" i="22"/>
  <c r="C255" i="22"/>
  <c r="B255" i="22"/>
  <c r="M242" i="22"/>
  <c r="L242" i="22"/>
  <c r="K242" i="22"/>
  <c r="J242" i="22"/>
  <c r="I242" i="22"/>
  <c r="H242" i="22"/>
  <c r="G242" i="22"/>
  <c r="F242" i="22"/>
  <c r="E242" i="22"/>
  <c r="D242" i="22"/>
  <c r="C242" i="22"/>
  <c r="B242" i="22"/>
  <c r="M238" i="22"/>
  <c r="L238" i="22"/>
  <c r="K238" i="22"/>
  <c r="J238" i="22"/>
  <c r="I238" i="22"/>
  <c r="H238" i="22"/>
  <c r="G238" i="22"/>
  <c r="F238" i="22"/>
  <c r="E238" i="22"/>
  <c r="D238" i="22"/>
  <c r="C238" i="22"/>
  <c r="B238" i="22"/>
  <c r="M233" i="22"/>
  <c r="L233" i="22"/>
  <c r="K233" i="22"/>
  <c r="J233" i="22"/>
  <c r="I233" i="22"/>
  <c r="H233" i="22"/>
  <c r="G233" i="22"/>
  <c r="F233" i="22"/>
  <c r="E233" i="22"/>
  <c r="D233" i="22"/>
  <c r="C233" i="22"/>
  <c r="B233" i="22"/>
  <c r="M230" i="22"/>
  <c r="L230" i="22"/>
  <c r="K230" i="22"/>
  <c r="J230" i="22"/>
  <c r="I230" i="22"/>
  <c r="H230" i="22"/>
  <c r="G230" i="22"/>
  <c r="F230" i="22"/>
  <c r="E230" i="22"/>
  <c r="D230" i="22"/>
  <c r="C230" i="22"/>
  <c r="B230" i="22"/>
  <c r="M225" i="22"/>
  <c r="L225" i="22"/>
  <c r="K225" i="22"/>
  <c r="J225" i="22"/>
  <c r="I225" i="22"/>
  <c r="H225" i="22"/>
  <c r="G225" i="22"/>
  <c r="F225" i="22"/>
  <c r="E225" i="22"/>
  <c r="D225" i="22"/>
  <c r="C225" i="22"/>
  <c r="B225" i="22"/>
  <c r="M222" i="22"/>
  <c r="L222" i="22"/>
  <c r="K222" i="22"/>
  <c r="J222" i="22"/>
  <c r="I222" i="22"/>
  <c r="H222" i="22"/>
  <c r="G222" i="22"/>
  <c r="F222" i="22"/>
  <c r="E222" i="22"/>
  <c r="D222" i="22"/>
  <c r="C222" i="22"/>
  <c r="B222" i="22"/>
  <c r="M219" i="22"/>
  <c r="L219" i="22"/>
  <c r="K219" i="22"/>
  <c r="J219" i="22"/>
  <c r="I219" i="22"/>
  <c r="H219" i="22"/>
  <c r="G219" i="22"/>
  <c r="G214" i="22" s="1"/>
  <c r="F219" i="22"/>
  <c r="E219" i="22"/>
  <c r="D219" i="22"/>
  <c r="C219" i="22"/>
  <c r="B219" i="22"/>
  <c r="M215" i="22"/>
  <c r="M214" i="22" s="1"/>
  <c r="L215" i="22"/>
  <c r="K215" i="22"/>
  <c r="K214" i="22" s="1"/>
  <c r="J215" i="22"/>
  <c r="J214" i="22" s="1"/>
  <c r="I215" i="22"/>
  <c r="H215" i="22"/>
  <c r="G215" i="22"/>
  <c r="F215" i="22"/>
  <c r="E215" i="22"/>
  <c r="D215" i="22"/>
  <c r="C215" i="22"/>
  <c r="C214" i="22" s="1"/>
  <c r="B215" i="22"/>
  <c r="B214" i="22" s="1"/>
  <c r="L214" i="22"/>
  <c r="I214" i="22"/>
  <c r="H214" i="22"/>
  <c r="F214" i="22"/>
  <c r="E214" i="22"/>
  <c r="D214" i="22"/>
  <c r="M197" i="22"/>
  <c r="L197" i="22"/>
  <c r="K197" i="22"/>
  <c r="J197" i="22"/>
  <c r="I197" i="22"/>
  <c r="H197" i="22"/>
  <c r="G197" i="22"/>
  <c r="F197" i="22"/>
  <c r="E197" i="22"/>
  <c r="D197" i="22"/>
  <c r="C197" i="22"/>
  <c r="B197" i="22"/>
  <c r="M195" i="22"/>
  <c r="L195" i="22"/>
  <c r="K195" i="22"/>
  <c r="J195" i="22"/>
  <c r="I195" i="22"/>
  <c r="H195" i="22"/>
  <c r="G195" i="22"/>
  <c r="F195" i="22"/>
  <c r="E195" i="22"/>
  <c r="D195" i="22"/>
  <c r="C195" i="22"/>
  <c r="B195" i="22"/>
  <c r="M192" i="22"/>
  <c r="L192" i="22"/>
  <c r="K192" i="22"/>
  <c r="J192" i="22"/>
  <c r="I192" i="22"/>
  <c r="H192" i="22"/>
  <c r="G192" i="22"/>
  <c r="F192" i="22"/>
  <c r="E192" i="22"/>
  <c r="D192" i="22"/>
  <c r="C192" i="22"/>
  <c r="B192" i="22"/>
  <c r="M189" i="22"/>
  <c r="L189" i="22"/>
  <c r="K189" i="22"/>
  <c r="J189" i="22"/>
  <c r="I189" i="22"/>
  <c r="H189" i="22"/>
  <c r="G189" i="22"/>
  <c r="F189" i="22"/>
  <c r="E189" i="22"/>
  <c r="D189" i="22"/>
  <c r="C189" i="22"/>
  <c r="B189" i="22"/>
  <c r="M183" i="22"/>
  <c r="L183" i="22"/>
  <c r="K183" i="22"/>
  <c r="J183" i="22"/>
  <c r="I183" i="22"/>
  <c r="H183" i="22"/>
  <c r="G183" i="22"/>
  <c r="F183" i="22"/>
  <c r="E183" i="22"/>
  <c r="D183" i="22"/>
  <c r="C183" i="22"/>
  <c r="B183" i="22"/>
  <c r="M181" i="22"/>
  <c r="L181" i="22"/>
  <c r="K181" i="22"/>
  <c r="J181" i="22"/>
  <c r="I181" i="22"/>
  <c r="H181" i="22"/>
  <c r="G181" i="22"/>
  <c r="F181" i="22"/>
  <c r="E181" i="22"/>
  <c r="D181" i="22"/>
  <c r="C181" i="22"/>
  <c r="B181" i="22"/>
  <c r="M174" i="22"/>
  <c r="L174" i="22"/>
  <c r="K174" i="22"/>
  <c r="J174" i="22"/>
  <c r="I174" i="22"/>
  <c r="H174" i="22"/>
  <c r="G174" i="22"/>
  <c r="F174" i="22"/>
  <c r="E174" i="22"/>
  <c r="D174" i="22"/>
  <c r="C174" i="22"/>
  <c r="B174" i="22"/>
  <c r="M171" i="22"/>
  <c r="L171" i="22"/>
  <c r="K171" i="22"/>
  <c r="J171" i="22"/>
  <c r="I171" i="22"/>
  <c r="H171" i="22"/>
  <c r="G171" i="22"/>
  <c r="F171" i="22"/>
  <c r="E171" i="22"/>
  <c r="D171" i="22"/>
  <c r="C171" i="22"/>
  <c r="B171" i="22"/>
  <c r="M167" i="22"/>
  <c r="L167" i="22"/>
  <c r="K167" i="22"/>
  <c r="J167" i="22"/>
  <c r="I167" i="22"/>
  <c r="H167" i="22"/>
  <c r="G167" i="22"/>
  <c r="F167" i="22"/>
  <c r="E167" i="22"/>
  <c r="D167" i="22"/>
  <c r="C167" i="22"/>
  <c r="B167" i="22"/>
  <c r="M164" i="22"/>
  <c r="L164" i="22"/>
  <c r="K164" i="22"/>
  <c r="J164" i="22"/>
  <c r="I164" i="22"/>
  <c r="H164" i="22"/>
  <c r="G164" i="22"/>
  <c r="F164" i="22"/>
  <c r="E164" i="22"/>
  <c r="D164" i="22"/>
  <c r="C164" i="22"/>
  <c r="B164" i="22"/>
  <c r="M160" i="22"/>
  <c r="L160" i="22"/>
  <c r="K160" i="22"/>
  <c r="J160" i="22"/>
  <c r="I160" i="22"/>
  <c r="H160" i="22"/>
  <c r="G160" i="22"/>
  <c r="F160" i="22"/>
  <c r="E160" i="22"/>
  <c r="D160" i="22"/>
  <c r="C160" i="22"/>
  <c r="B160" i="22"/>
  <c r="M157" i="22"/>
  <c r="L157" i="22"/>
  <c r="K157" i="22"/>
  <c r="J157" i="22"/>
  <c r="I157" i="22"/>
  <c r="H157" i="22"/>
  <c r="G157" i="22"/>
  <c r="F157" i="22"/>
  <c r="E157" i="22"/>
  <c r="D157" i="22"/>
  <c r="C157" i="22"/>
  <c r="B157" i="22"/>
  <c r="M153" i="22"/>
  <c r="L153" i="22"/>
  <c r="K153" i="22"/>
  <c r="J153" i="22"/>
  <c r="I153" i="22"/>
  <c r="H153" i="22"/>
  <c r="G153" i="22"/>
  <c r="F153" i="22"/>
  <c r="E153" i="22"/>
  <c r="D153" i="22"/>
  <c r="C153" i="22"/>
  <c r="B153" i="22"/>
  <c r="M151" i="22"/>
  <c r="L151" i="22"/>
  <c r="K151" i="22"/>
  <c r="J151" i="22"/>
  <c r="I151" i="22"/>
  <c r="H151" i="22"/>
  <c r="G151" i="22"/>
  <c r="F151" i="22"/>
  <c r="E151" i="22"/>
  <c r="D151" i="22"/>
  <c r="C151" i="22"/>
  <c r="B151" i="22"/>
  <c r="M147" i="22"/>
  <c r="L147" i="22"/>
  <c r="K147" i="22"/>
  <c r="J147" i="22"/>
  <c r="I147" i="22"/>
  <c r="H147" i="22"/>
  <c r="G147" i="22"/>
  <c r="F147" i="22"/>
  <c r="E147" i="22"/>
  <c r="D147" i="22"/>
  <c r="C147" i="22"/>
  <c r="B147" i="22"/>
  <c r="M144" i="22"/>
  <c r="L144" i="22"/>
  <c r="K144" i="22"/>
  <c r="J144" i="22"/>
  <c r="I144" i="22"/>
  <c r="H144" i="22"/>
  <c r="G144" i="22"/>
  <c r="F144" i="22"/>
  <c r="E144" i="22"/>
  <c r="D144" i="22"/>
  <c r="C144" i="22"/>
  <c r="B144" i="22"/>
  <c r="M136" i="22"/>
  <c r="L136" i="22"/>
  <c r="K136" i="22"/>
  <c r="J136" i="22"/>
  <c r="I136" i="22"/>
  <c r="H136" i="22"/>
  <c r="G136" i="22"/>
  <c r="F136" i="22"/>
  <c r="E136" i="22"/>
  <c r="D136" i="22"/>
  <c r="C136" i="22"/>
  <c r="B136" i="22"/>
  <c r="M132" i="22"/>
  <c r="L132" i="22"/>
  <c r="K132" i="22"/>
  <c r="J132" i="22"/>
  <c r="I132" i="22"/>
  <c r="H132" i="22"/>
  <c r="G132" i="22"/>
  <c r="F132" i="22"/>
  <c r="E132" i="22"/>
  <c r="D132" i="22"/>
  <c r="C132" i="22"/>
  <c r="B132" i="22"/>
  <c r="M124" i="22"/>
  <c r="L124" i="22"/>
  <c r="K124" i="22"/>
  <c r="J124" i="22"/>
  <c r="I124" i="22"/>
  <c r="H124" i="22"/>
  <c r="G124" i="22"/>
  <c r="F124" i="22"/>
  <c r="E124" i="22"/>
  <c r="D124" i="22"/>
  <c r="C124" i="22"/>
  <c r="B124" i="22"/>
  <c r="M121" i="22"/>
  <c r="L121" i="22"/>
  <c r="K121" i="22"/>
  <c r="J121" i="22"/>
  <c r="I121" i="22"/>
  <c r="H121" i="22"/>
  <c r="G121" i="22"/>
  <c r="F121" i="22"/>
  <c r="E121" i="22"/>
  <c r="D121" i="22"/>
  <c r="C121" i="22"/>
  <c r="B121" i="22"/>
  <c r="M118" i="22"/>
  <c r="L118" i="22"/>
  <c r="K118" i="22"/>
  <c r="J118" i="22"/>
  <c r="I118" i="22"/>
  <c r="H118" i="22"/>
  <c r="G118" i="22"/>
  <c r="F118" i="22"/>
  <c r="E118" i="22"/>
  <c r="D118" i="22"/>
  <c r="C118" i="22"/>
  <c r="B118" i="22"/>
  <c r="M115" i="22"/>
  <c r="L115" i="22"/>
  <c r="K115" i="22"/>
  <c r="J115" i="22"/>
  <c r="I115" i="22"/>
  <c r="H115" i="22"/>
  <c r="G115" i="22"/>
  <c r="F115" i="22"/>
  <c r="E115" i="22"/>
  <c r="D115" i="22"/>
  <c r="C115" i="22"/>
  <c r="B115" i="22"/>
  <c r="M113" i="22"/>
  <c r="L113" i="22"/>
  <c r="K113" i="22"/>
  <c r="J113" i="22"/>
  <c r="I113" i="22"/>
  <c r="H113" i="22"/>
  <c r="G113" i="22"/>
  <c r="F113" i="22"/>
  <c r="E113" i="22"/>
  <c r="D113" i="22"/>
  <c r="C113" i="22"/>
  <c r="B113" i="22"/>
  <c r="M110" i="22"/>
  <c r="M109" i="22" s="1"/>
  <c r="L110" i="22"/>
  <c r="L109" i="22" s="1"/>
  <c r="K110" i="22"/>
  <c r="J110" i="22"/>
  <c r="J109" i="22" s="1"/>
  <c r="I110" i="22"/>
  <c r="H110" i="22"/>
  <c r="G110" i="22"/>
  <c r="G109" i="22" s="1"/>
  <c r="F110" i="22"/>
  <c r="E110" i="22"/>
  <c r="E109" i="22" s="1"/>
  <c r="D110" i="22"/>
  <c r="D109" i="22" s="1"/>
  <c r="C110" i="22"/>
  <c r="B110" i="22"/>
  <c r="K109" i="22"/>
  <c r="I109" i="22"/>
  <c r="H109" i="22"/>
  <c r="F109" i="22"/>
  <c r="C109" i="22"/>
  <c r="B109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M9" i="22"/>
  <c r="L9" i="22"/>
  <c r="K9" i="22"/>
  <c r="J9" i="22"/>
  <c r="I9" i="22"/>
  <c r="H9" i="22"/>
  <c r="G9" i="22"/>
  <c r="F9" i="22"/>
  <c r="F5" i="22" s="1"/>
  <c r="E9" i="22"/>
  <c r="D9" i="22"/>
  <c r="D5" i="22" s="1"/>
  <c r="C9" i="22"/>
  <c r="B9" i="22"/>
  <c r="M6" i="22"/>
  <c r="L6" i="22"/>
  <c r="K6" i="22"/>
  <c r="J6" i="22"/>
  <c r="I6" i="22"/>
  <c r="H6" i="22"/>
  <c r="H5" i="22" s="1"/>
  <c r="G6" i="22"/>
  <c r="G5" i="22" s="1"/>
  <c r="F6" i="22"/>
  <c r="E6" i="22"/>
  <c r="D6" i="22"/>
  <c r="C6" i="22"/>
  <c r="B6" i="22"/>
  <c r="M5" i="22"/>
  <c r="L5" i="22"/>
  <c r="J5" i="22"/>
  <c r="I5" i="22"/>
  <c r="E5" i="22"/>
  <c r="B5" i="22"/>
  <c r="C133" i="23" l="1"/>
  <c r="C112" i="23"/>
  <c r="C118" i="23"/>
  <c r="B121" i="23"/>
  <c r="B150" i="23"/>
  <c r="B156" i="23"/>
  <c r="B167" i="23"/>
  <c r="B234" i="23"/>
  <c r="B259" i="23"/>
  <c r="B290" i="23"/>
  <c r="B314" i="23"/>
  <c r="B322" i="23"/>
  <c r="F107" i="23"/>
  <c r="F5" i="23"/>
  <c r="C108" i="23"/>
  <c r="B129" i="23"/>
  <c r="B154" i="23"/>
  <c r="B226" i="23"/>
  <c r="B238" i="23"/>
  <c r="B308" i="23"/>
  <c r="C10" i="23"/>
  <c r="B34" i="23"/>
  <c r="B69" i="23"/>
  <c r="B84" i="23"/>
  <c r="C154" i="23"/>
  <c r="B160" i="23"/>
  <c r="B193" i="23"/>
  <c r="B196" i="23"/>
  <c r="C211" i="23"/>
  <c r="C226" i="23"/>
  <c r="C238" i="23"/>
  <c r="C256" i="23"/>
  <c r="B8" i="23"/>
  <c r="C34" i="23"/>
  <c r="C48" i="23"/>
  <c r="C84" i="23"/>
  <c r="B92" i="23"/>
  <c r="B185" i="23"/>
  <c r="C193" i="23"/>
  <c r="C196" i="23"/>
  <c r="B215" i="23"/>
  <c r="B210" i="23" s="1"/>
  <c r="B218" i="23"/>
  <c r="B251" i="23"/>
  <c r="B275" i="23"/>
  <c r="C8" i="23"/>
  <c r="B27" i="23"/>
  <c r="B31" i="23"/>
  <c r="C46" i="23"/>
  <c r="B58" i="23"/>
  <c r="B90" i="23"/>
  <c r="B133" i="23"/>
  <c r="C163" i="23"/>
  <c r="B179" i="23"/>
  <c r="B191" i="23"/>
  <c r="C218" i="23"/>
  <c r="C251" i="23"/>
  <c r="C275" i="23"/>
  <c r="C210" i="23" s="1"/>
  <c r="G5" i="23"/>
  <c r="E107" i="23"/>
  <c r="C107" i="23" s="1"/>
  <c r="K5" i="22"/>
  <c r="C5" i="22"/>
  <c r="D5" i="23"/>
  <c r="E5" i="23"/>
  <c r="D107" i="23"/>
  <c r="B107" i="23" s="1"/>
  <c r="B118" i="23"/>
  <c r="D210" i="23"/>
  <c r="C5" i="23" l="1"/>
  <c r="B5" i="23"/>
  <c r="J33" i="3"/>
  <c r="D78" i="4" l="1"/>
  <c r="D112" i="17" l="1"/>
  <c r="C112" i="17"/>
  <c r="B112" i="17"/>
  <c r="D107" i="17"/>
  <c r="C107" i="17"/>
  <c r="B107" i="17"/>
  <c r="D99" i="17"/>
  <c r="C99" i="17"/>
  <c r="B99" i="17"/>
  <c r="D96" i="17"/>
  <c r="C96" i="17"/>
  <c r="B96" i="17"/>
  <c r="D89" i="17"/>
  <c r="C89" i="17"/>
  <c r="B89" i="17"/>
  <c r="D84" i="17"/>
  <c r="C84" i="17"/>
  <c r="B84" i="17"/>
  <c r="D74" i="17"/>
  <c r="C74" i="17"/>
  <c r="B74" i="17"/>
  <c r="D69" i="17"/>
  <c r="C69" i="17"/>
  <c r="B69" i="17"/>
  <c r="D61" i="17"/>
  <c r="C61" i="17"/>
  <c r="B61" i="17"/>
  <c r="D58" i="17"/>
  <c r="C58" i="17"/>
  <c r="B58" i="17"/>
  <c r="D51" i="17"/>
  <c r="C51" i="17"/>
  <c r="B51" i="17"/>
  <c r="D46" i="17"/>
  <c r="C46" i="17"/>
  <c r="B46" i="17"/>
  <c r="D36" i="17"/>
  <c r="C36" i="17"/>
  <c r="B36" i="17"/>
  <c r="D31" i="17"/>
  <c r="C31" i="17"/>
  <c r="B31" i="17"/>
  <c r="D23" i="17"/>
  <c r="C23" i="17"/>
  <c r="B23" i="17"/>
  <c r="D20" i="17"/>
  <c r="C20" i="17"/>
  <c r="B20" i="17"/>
  <c r="D13" i="17"/>
  <c r="C13" i="17"/>
  <c r="B13" i="17"/>
  <c r="D8" i="17"/>
  <c r="C8" i="17"/>
  <c r="B8" i="17"/>
  <c r="L112" i="16"/>
  <c r="K112" i="16"/>
  <c r="J112" i="16"/>
  <c r="I112" i="16"/>
  <c r="H112" i="16"/>
  <c r="G112" i="16"/>
  <c r="F112" i="16"/>
  <c r="E112" i="16"/>
  <c r="D112" i="16"/>
  <c r="C112" i="16"/>
  <c r="B112" i="16"/>
  <c r="L107" i="16"/>
  <c r="K107" i="16"/>
  <c r="J107" i="16"/>
  <c r="I107" i="16"/>
  <c r="H107" i="16"/>
  <c r="G107" i="16"/>
  <c r="F107" i="16"/>
  <c r="E107" i="16"/>
  <c r="D107" i="16"/>
  <c r="C107" i="16"/>
  <c r="B107" i="16"/>
  <c r="L99" i="16"/>
  <c r="K99" i="16"/>
  <c r="J99" i="16"/>
  <c r="I99" i="16"/>
  <c r="H99" i="16"/>
  <c r="G99" i="16"/>
  <c r="F99" i="16"/>
  <c r="E99" i="16"/>
  <c r="D99" i="16"/>
  <c r="C99" i="16"/>
  <c r="B99" i="16"/>
  <c r="L96" i="16"/>
  <c r="K96" i="16"/>
  <c r="J96" i="16"/>
  <c r="I96" i="16"/>
  <c r="H96" i="16"/>
  <c r="G96" i="16"/>
  <c r="F96" i="16"/>
  <c r="E96" i="16"/>
  <c r="D96" i="16"/>
  <c r="C96" i="16"/>
  <c r="B96" i="16"/>
  <c r="L89" i="16"/>
  <c r="K89" i="16"/>
  <c r="J89" i="16"/>
  <c r="I89" i="16"/>
  <c r="H89" i="16"/>
  <c r="G89" i="16"/>
  <c r="F89" i="16"/>
  <c r="E89" i="16"/>
  <c r="D89" i="16"/>
  <c r="C89" i="16"/>
  <c r="B89" i="16"/>
  <c r="L84" i="16"/>
  <c r="K84" i="16"/>
  <c r="J84" i="16"/>
  <c r="I84" i="16"/>
  <c r="H84" i="16"/>
  <c r="G84" i="16"/>
  <c r="F84" i="16"/>
  <c r="E84" i="16"/>
  <c r="D84" i="16"/>
  <c r="C84" i="16"/>
  <c r="C81" i="16" s="1"/>
  <c r="B84" i="16"/>
  <c r="B81" i="16" s="1"/>
  <c r="L43" i="16"/>
  <c r="K43" i="16"/>
  <c r="J43" i="16"/>
  <c r="I43" i="16"/>
  <c r="H43" i="16"/>
  <c r="G43" i="16"/>
  <c r="F43" i="16"/>
  <c r="E43" i="16"/>
  <c r="D43" i="16"/>
  <c r="C43" i="16"/>
  <c r="B43" i="16"/>
  <c r="L36" i="16"/>
  <c r="K36" i="16"/>
  <c r="J36" i="16"/>
  <c r="I36" i="16"/>
  <c r="H36" i="16"/>
  <c r="G36" i="16"/>
  <c r="F36" i="16"/>
  <c r="E36" i="16"/>
  <c r="D36" i="16"/>
  <c r="C36" i="16"/>
  <c r="B36" i="16"/>
  <c r="L31" i="16"/>
  <c r="K31" i="16"/>
  <c r="J31" i="16"/>
  <c r="I31" i="16"/>
  <c r="H31" i="16"/>
  <c r="G31" i="16"/>
  <c r="F31" i="16"/>
  <c r="E31" i="16"/>
  <c r="D31" i="16"/>
  <c r="C31" i="16"/>
  <c r="B31" i="16"/>
  <c r="L23" i="16"/>
  <c r="K23" i="16"/>
  <c r="J23" i="16"/>
  <c r="I23" i="16"/>
  <c r="H23" i="16"/>
  <c r="G23" i="16"/>
  <c r="F23" i="16"/>
  <c r="E23" i="16"/>
  <c r="D23" i="16"/>
  <c r="C23" i="16"/>
  <c r="B23" i="16"/>
  <c r="L20" i="16"/>
  <c r="K20" i="16"/>
  <c r="J20" i="16"/>
  <c r="I20" i="16"/>
  <c r="H20" i="16"/>
  <c r="G20" i="16"/>
  <c r="F20" i="16"/>
  <c r="E20" i="16"/>
  <c r="D20" i="16"/>
  <c r="C20" i="16"/>
  <c r="B20" i="16"/>
  <c r="L13" i="16"/>
  <c r="K13" i="16"/>
  <c r="J13" i="16"/>
  <c r="I13" i="16"/>
  <c r="H13" i="16"/>
  <c r="G13" i="16"/>
  <c r="F13" i="16"/>
  <c r="E13" i="16"/>
  <c r="D13" i="16"/>
  <c r="C13" i="16"/>
  <c r="B13" i="16"/>
  <c r="J8" i="16"/>
  <c r="I8" i="16"/>
  <c r="H8" i="16"/>
  <c r="G8" i="16"/>
  <c r="F8" i="16"/>
  <c r="E8" i="16"/>
  <c r="E5" i="16" s="1"/>
  <c r="D8" i="16"/>
  <c r="C8" i="16"/>
  <c r="B8" i="16"/>
  <c r="D36" i="14"/>
  <c r="C36" i="14"/>
  <c r="D23" i="14"/>
  <c r="C23" i="14"/>
  <c r="D20" i="14"/>
  <c r="C20" i="14"/>
  <c r="D13" i="14"/>
  <c r="C13" i="14"/>
  <c r="D8" i="14"/>
  <c r="C8" i="14"/>
  <c r="B5" i="14"/>
  <c r="R37" i="13"/>
  <c r="O37" i="13"/>
  <c r="L37" i="13"/>
  <c r="T36" i="13"/>
  <c r="R36" i="13" s="1"/>
  <c r="Q36" i="13"/>
  <c r="O36" i="13" s="1"/>
  <c r="N36" i="13"/>
  <c r="L36" i="13" s="1"/>
  <c r="E36" i="13"/>
  <c r="B36" i="13"/>
  <c r="R35" i="13"/>
  <c r="O35" i="13"/>
  <c r="L35" i="13"/>
  <c r="H35" i="13"/>
  <c r="E35" i="13"/>
  <c r="B35" i="13"/>
  <c r="R34" i="13"/>
  <c r="O34" i="13"/>
  <c r="L34" i="13"/>
  <c r="H34" i="13"/>
  <c r="E34" i="13"/>
  <c r="B34" i="13"/>
  <c r="R33" i="13"/>
  <c r="O33" i="13"/>
  <c r="L33" i="13"/>
  <c r="R32" i="13"/>
  <c r="O32" i="13"/>
  <c r="L32" i="13"/>
  <c r="H32" i="13"/>
  <c r="E32" i="13"/>
  <c r="B32" i="13"/>
  <c r="T31" i="13"/>
  <c r="R31" i="13" s="1"/>
  <c r="Q31" i="13"/>
  <c r="O31" i="13" s="1"/>
  <c r="N31" i="13"/>
  <c r="L31" i="13" s="1"/>
  <c r="H31" i="13"/>
  <c r="E31" i="13"/>
  <c r="B31" i="13"/>
  <c r="R30" i="13"/>
  <c r="O30" i="13"/>
  <c r="L30" i="13"/>
  <c r="R29" i="13"/>
  <c r="O29" i="13"/>
  <c r="L29" i="13"/>
  <c r="H29" i="13"/>
  <c r="E29" i="13"/>
  <c r="B29" i="13"/>
  <c r="R28" i="13"/>
  <c r="O28" i="13"/>
  <c r="L28" i="13"/>
  <c r="R27" i="13"/>
  <c r="O27" i="13"/>
  <c r="L27" i="13"/>
  <c r="R26" i="13"/>
  <c r="O26" i="13"/>
  <c r="L26" i="13"/>
  <c r="H26" i="13"/>
  <c r="E26" i="13"/>
  <c r="B26" i="13"/>
  <c r="R25" i="13"/>
  <c r="O25" i="13"/>
  <c r="L25" i="13"/>
  <c r="H25" i="13"/>
  <c r="E25" i="13"/>
  <c r="B25" i="13"/>
  <c r="R24" i="13"/>
  <c r="O24" i="13"/>
  <c r="L24" i="13"/>
  <c r="H24" i="13"/>
  <c r="E24" i="13"/>
  <c r="T23" i="13"/>
  <c r="R23" i="13" s="1"/>
  <c r="Q23" i="13"/>
  <c r="O23" i="13" s="1"/>
  <c r="N23" i="13"/>
  <c r="L23" i="13" s="1"/>
  <c r="H23" i="13"/>
  <c r="E23" i="13"/>
  <c r="B23" i="13"/>
  <c r="R22" i="13"/>
  <c r="O22" i="13"/>
  <c r="L22" i="13"/>
  <c r="H22" i="13"/>
  <c r="E22" i="13"/>
  <c r="O21" i="13"/>
  <c r="L21" i="13"/>
  <c r="H21" i="13"/>
  <c r="E21" i="13"/>
  <c r="T20" i="13"/>
  <c r="R20" i="13" s="1"/>
  <c r="Q20" i="13"/>
  <c r="O20" i="13" s="1"/>
  <c r="N20" i="13"/>
  <c r="L20" i="13" s="1"/>
  <c r="H20" i="13"/>
  <c r="E20" i="13"/>
  <c r="B20" i="13"/>
  <c r="R19" i="13"/>
  <c r="O19" i="13"/>
  <c r="L19" i="13"/>
  <c r="H19" i="13"/>
  <c r="E19" i="13"/>
  <c r="R18" i="13"/>
  <c r="O18" i="13"/>
  <c r="L18" i="13"/>
  <c r="H18" i="13"/>
  <c r="E18" i="13"/>
  <c r="B18" i="13"/>
  <c r="R17" i="13"/>
  <c r="O17" i="13"/>
  <c r="L17" i="13"/>
  <c r="H17" i="13"/>
  <c r="E17" i="13"/>
  <c r="B17" i="13"/>
  <c r="R16" i="13"/>
  <c r="O16" i="13"/>
  <c r="L16" i="13"/>
  <c r="H16" i="13"/>
  <c r="E16" i="13"/>
  <c r="B16" i="13"/>
  <c r="R15" i="13"/>
  <c r="O15" i="13"/>
  <c r="L15" i="13"/>
  <c r="H15" i="13"/>
  <c r="E15" i="13"/>
  <c r="B15" i="13"/>
  <c r="R14" i="13"/>
  <c r="O14" i="13"/>
  <c r="L14" i="13"/>
  <c r="H14" i="13"/>
  <c r="E14" i="13"/>
  <c r="B14" i="13"/>
  <c r="T13" i="13"/>
  <c r="R13" i="13" s="1"/>
  <c r="S13" i="13"/>
  <c r="S5" i="13" s="1"/>
  <c r="Q13" i="13"/>
  <c r="P13" i="13"/>
  <c r="O13" i="13" s="1"/>
  <c r="N13" i="13"/>
  <c r="M13" i="13"/>
  <c r="H13" i="13"/>
  <c r="E13" i="13"/>
  <c r="B13" i="13"/>
  <c r="R12" i="13"/>
  <c r="O12" i="13"/>
  <c r="L12" i="13"/>
  <c r="H12" i="13"/>
  <c r="R11" i="13"/>
  <c r="O11" i="13"/>
  <c r="L11" i="13"/>
  <c r="H11" i="13"/>
  <c r="E11" i="13"/>
  <c r="B11" i="13"/>
  <c r="R10" i="13"/>
  <c r="O10" i="13"/>
  <c r="L10" i="13"/>
  <c r="H10" i="13"/>
  <c r="E10" i="13"/>
  <c r="B10" i="13"/>
  <c r="R9" i="13"/>
  <c r="O9" i="13"/>
  <c r="L9" i="13"/>
  <c r="H9" i="13"/>
  <c r="E9" i="13"/>
  <c r="B9" i="13"/>
  <c r="T8" i="13"/>
  <c r="R8" i="13" s="1"/>
  <c r="Q8" i="13"/>
  <c r="O8" i="13" s="1"/>
  <c r="N8" i="13"/>
  <c r="L8" i="13" s="1"/>
  <c r="H8" i="13"/>
  <c r="E8" i="13"/>
  <c r="B8" i="13"/>
  <c r="R7" i="13"/>
  <c r="O7" i="13"/>
  <c r="L7" i="13"/>
  <c r="H7" i="13"/>
  <c r="E7" i="13"/>
  <c r="R6" i="13"/>
  <c r="O6" i="13"/>
  <c r="L6" i="13"/>
  <c r="H6" i="13"/>
  <c r="E6" i="13"/>
  <c r="B6" i="13"/>
  <c r="P5" i="13"/>
  <c r="J5" i="13"/>
  <c r="I5" i="13"/>
  <c r="H5" i="13" s="1"/>
  <c r="G5" i="13"/>
  <c r="F5" i="13"/>
  <c r="E5" i="13" s="1"/>
  <c r="D5" i="13"/>
  <c r="C5" i="13"/>
  <c r="J4" i="19"/>
  <c r="I4" i="19"/>
  <c r="H4" i="19"/>
  <c r="G4" i="19"/>
  <c r="F4" i="19"/>
  <c r="E4" i="19"/>
  <c r="D4" i="19"/>
  <c r="C4" i="19"/>
  <c r="I4" i="18"/>
  <c r="H4" i="18"/>
  <c r="G4" i="18"/>
  <c r="F4" i="18"/>
  <c r="E4" i="18"/>
  <c r="D4" i="18"/>
  <c r="C4" i="18"/>
  <c r="B4" i="18"/>
  <c r="I78" i="4"/>
  <c r="H78" i="4"/>
  <c r="G78" i="4"/>
  <c r="E78" i="4"/>
  <c r="C78" i="4"/>
  <c r="B78" i="4"/>
  <c r="I72" i="4"/>
  <c r="H72" i="4"/>
  <c r="G72" i="4"/>
  <c r="D72" i="4"/>
  <c r="B72" i="4"/>
  <c r="I67" i="4"/>
  <c r="H67" i="4"/>
  <c r="G67" i="4"/>
  <c r="D67" i="4"/>
  <c r="B67" i="4"/>
  <c r="I59" i="4"/>
  <c r="H59" i="4"/>
  <c r="G59" i="4"/>
  <c r="B59" i="4"/>
  <c r="D57" i="4"/>
  <c r="I56" i="4"/>
  <c r="H56" i="4"/>
  <c r="G56" i="4"/>
  <c r="B56" i="4"/>
  <c r="I49" i="4"/>
  <c r="H49" i="4"/>
  <c r="G49" i="4"/>
  <c r="B49" i="4"/>
  <c r="I44" i="4"/>
  <c r="H44" i="4"/>
  <c r="G44" i="4"/>
  <c r="B44" i="4"/>
  <c r="F41" i="4"/>
  <c r="E41" i="4"/>
  <c r="C41" i="4"/>
  <c r="I35" i="4"/>
  <c r="H35" i="4"/>
  <c r="G35" i="4"/>
  <c r="B35" i="4"/>
  <c r="I30" i="4"/>
  <c r="H30" i="4"/>
  <c r="G30" i="4"/>
  <c r="D30" i="4"/>
  <c r="B30" i="4"/>
  <c r="I22" i="4"/>
  <c r="H22" i="4"/>
  <c r="G22" i="4"/>
  <c r="B22" i="4"/>
  <c r="I19" i="4"/>
  <c r="H19" i="4"/>
  <c r="G19" i="4"/>
  <c r="D19" i="4"/>
  <c r="B19" i="4"/>
  <c r="I12" i="4"/>
  <c r="H12" i="4"/>
  <c r="G12" i="4"/>
  <c r="B12" i="4"/>
  <c r="I7" i="4"/>
  <c r="H7" i="4"/>
  <c r="G7" i="4"/>
  <c r="B7" i="4"/>
  <c r="F4" i="4"/>
  <c r="E4" i="4"/>
  <c r="D4" i="4"/>
  <c r="C4" i="4"/>
  <c r="J36" i="3"/>
  <c r="G36" i="3"/>
  <c r="B36" i="3"/>
  <c r="D36" i="3" s="1"/>
  <c r="J35" i="3"/>
  <c r="G35" i="3"/>
  <c r="D35" i="3"/>
  <c r="J34" i="3"/>
  <c r="G34" i="3"/>
  <c r="D34" i="3"/>
  <c r="G33" i="3"/>
  <c r="D33" i="3"/>
  <c r="J32" i="3"/>
  <c r="G32" i="3"/>
  <c r="D32" i="3"/>
  <c r="J31" i="3"/>
  <c r="G31" i="3"/>
  <c r="B31" i="3"/>
  <c r="D31" i="3" s="1"/>
  <c r="J30" i="3"/>
  <c r="G30" i="3"/>
  <c r="D30" i="3"/>
  <c r="J29" i="3"/>
  <c r="G29" i="3"/>
  <c r="D29" i="3"/>
  <c r="J28" i="3"/>
  <c r="G28" i="3"/>
  <c r="D28" i="3"/>
  <c r="J27" i="3"/>
  <c r="G27" i="3"/>
  <c r="D27" i="3"/>
  <c r="J26" i="3"/>
  <c r="G26" i="3"/>
  <c r="D26" i="3"/>
  <c r="J25" i="3"/>
  <c r="G25" i="3"/>
  <c r="D25" i="3"/>
  <c r="J24" i="3"/>
  <c r="G24" i="3"/>
  <c r="D24" i="3"/>
  <c r="J23" i="3"/>
  <c r="G23" i="3"/>
  <c r="B23" i="3"/>
  <c r="J22" i="3"/>
  <c r="G22" i="3"/>
  <c r="D22" i="3"/>
  <c r="J20" i="3"/>
  <c r="G20" i="3"/>
  <c r="B20" i="3"/>
  <c r="D20" i="3" s="1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J13" i="3"/>
  <c r="G13" i="3"/>
  <c r="B13" i="3"/>
  <c r="D13" i="3" s="1"/>
  <c r="J12" i="3"/>
  <c r="G12" i="3"/>
  <c r="D12" i="3"/>
  <c r="J11" i="3"/>
  <c r="G11" i="3"/>
  <c r="D11" i="3"/>
  <c r="J10" i="3"/>
  <c r="F10" i="3"/>
  <c r="G10" i="3" s="1"/>
  <c r="D10" i="3"/>
  <c r="J9" i="3"/>
  <c r="G9" i="3"/>
  <c r="D9" i="3"/>
  <c r="J8" i="3"/>
  <c r="G8" i="3"/>
  <c r="B8" i="3"/>
  <c r="D8" i="3" s="1"/>
  <c r="J7" i="3"/>
  <c r="G7" i="3"/>
  <c r="D7" i="3"/>
  <c r="J6" i="3"/>
  <c r="G6" i="3"/>
  <c r="D6" i="3"/>
  <c r="I5" i="3"/>
  <c r="J5" i="3" s="1"/>
  <c r="F5" i="3"/>
  <c r="E5" i="3"/>
  <c r="C5" i="3"/>
  <c r="L13" i="13" l="1"/>
  <c r="E81" i="16"/>
  <c r="M5" i="13"/>
  <c r="I5" i="16"/>
  <c r="G81" i="16"/>
  <c r="H81" i="16"/>
  <c r="B5" i="3"/>
  <c r="D41" i="4"/>
  <c r="G5" i="16"/>
  <c r="J81" i="16"/>
  <c r="G41" i="4"/>
  <c r="K81" i="16"/>
  <c r="D5" i="14"/>
  <c r="G5" i="3"/>
  <c r="B4" i="4"/>
  <c r="I4" i="4"/>
  <c r="H4" i="4"/>
  <c r="B5" i="16"/>
  <c r="J5" i="16"/>
  <c r="F5" i="16"/>
  <c r="C5" i="16"/>
  <c r="K5" i="16"/>
  <c r="H5" i="16"/>
  <c r="D81" i="16"/>
  <c r="L81" i="16"/>
  <c r="I81" i="16"/>
  <c r="F81" i="16"/>
  <c r="D5" i="17"/>
  <c r="B43" i="17"/>
  <c r="D5" i="16"/>
  <c r="L5" i="16"/>
  <c r="G4" i="4"/>
  <c r="B41" i="4"/>
  <c r="H41" i="4"/>
  <c r="I41" i="4"/>
  <c r="B5" i="13"/>
  <c r="Q5" i="13"/>
  <c r="O5" i="13" s="1"/>
  <c r="C5" i="14"/>
  <c r="C81" i="17"/>
  <c r="D5" i="3"/>
  <c r="C43" i="17"/>
  <c r="D81" i="17"/>
  <c r="B5" i="17"/>
  <c r="D43" i="17"/>
  <c r="B81" i="17"/>
  <c r="C5" i="17"/>
  <c r="T5" i="13"/>
  <c r="R5" i="13" s="1"/>
  <c r="N5" i="13"/>
  <c r="L5" i="13" s="1"/>
  <c r="D23" i="3"/>
</calcChain>
</file>

<file path=xl/sharedStrings.xml><?xml version="1.0" encoding="utf-8"?>
<sst xmlns="http://schemas.openxmlformats.org/spreadsheetml/2006/main" count="1895" uniqueCount="288">
  <si>
    <t>Years</t>
  </si>
  <si>
    <t>Hospitals</t>
  </si>
  <si>
    <t>Nos.</t>
  </si>
  <si>
    <t>Beds</t>
  </si>
  <si>
    <t>Dispensaries</t>
  </si>
  <si>
    <t>R.H.Cs</t>
  </si>
  <si>
    <t>T.B Clinics</t>
  </si>
  <si>
    <t>District/Tehsil</t>
  </si>
  <si>
    <t>MCH Centres</t>
  </si>
  <si>
    <t>Sub Health Centres</t>
  </si>
  <si>
    <t>Leprosy Clinics</t>
  </si>
  <si>
    <t>BHUs</t>
  </si>
  <si>
    <t>Peshawar Distt:</t>
  </si>
  <si>
    <t>Peshawar</t>
  </si>
  <si>
    <t>Nowshera Distt:</t>
  </si>
  <si>
    <t>Nowshera</t>
  </si>
  <si>
    <t>Charsadda Distt:</t>
  </si>
  <si>
    <t>Charsadda</t>
  </si>
  <si>
    <t>Tangi</t>
  </si>
  <si>
    <t>Mardan Distt:</t>
  </si>
  <si>
    <t>Mardan</t>
  </si>
  <si>
    <t>Takht Bai</t>
  </si>
  <si>
    <t>Swabi Distt:</t>
  </si>
  <si>
    <t>Swabi</t>
  </si>
  <si>
    <t>Lahore</t>
  </si>
  <si>
    <t>Kohat Distt:</t>
  </si>
  <si>
    <t>Kohat</t>
  </si>
  <si>
    <t>Hangu Distt:</t>
  </si>
  <si>
    <t>Hangu</t>
  </si>
  <si>
    <t>Karak Distt:</t>
  </si>
  <si>
    <t>Karak</t>
  </si>
  <si>
    <t>B.D Shah</t>
  </si>
  <si>
    <t>Takht-e-Nasrati</t>
  </si>
  <si>
    <t>Abbottabad Distt:</t>
  </si>
  <si>
    <t>Abbottabad</t>
  </si>
  <si>
    <t>Haripur Distt:</t>
  </si>
  <si>
    <t>Haripur</t>
  </si>
  <si>
    <t>Ghazi</t>
  </si>
  <si>
    <t>Mansehra Distt:</t>
  </si>
  <si>
    <t>Mansehra</t>
  </si>
  <si>
    <t>Oghi</t>
  </si>
  <si>
    <t>Balakot</t>
  </si>
  <si>
    <t>F.R Kaladaka</t>
  </si>
  <si>
    <t>Battagram Distt:</t>
  </si>
  <si>
    <t>Battagram</t>
  </si>
  <si>
    <t>Allai</t>
  </si>
  <si>
    <t>Kohistan Distt:</t>
  </si>
  <si>
    <t>Pattan S/D</t>
  </si>
  <si>
    <t>Dassu S/D</t>
  </si>
  <si>
    <t>Palas S/D</t>
  </si>
  <si>
    <t>Tank Distt:</t>
  </si>
  <si>
    <t>Tank</t>
  </si>
  <si>
    <t>Bannu Distt:</t>
  </si>
  <si>
    <t>Bannu</t>
  </si>
  <si>
    <t>Lakki Distt:</t>
  </si>
  <si>
    <t>Lakki</t>
  </si>
  <si>
    <t>D.I.Khan Distt:</t>
  </si>
  <si>
    <t>D.I.Khan</t>
  </si>
  <si>
    <t>Paharpur</t>
  </si>
  <si>
    <t>Kulachi</t>
  </si>
  <si>
    <t>Chitral Distt:</t>
  </si>
  <si>
    <t>Chitral S/D</t>
  </si>
  <si>
    <t>Mastuj S/D</t>
  </si>
  <si>
    <t>Upper Dir Distt:</t>
  </si>
  <si>
    <t>Dir S/D</t>
  </si>
  <si>
    <t>Wari S/D</t>
  </si>
  <si>
    <t>Lower Dir Distt:</t>
  </si>
  <si>
    <t>Timergara</t>
  </si>
  <si>
    <t>Jandool</t>
  </si>
  <si>
    <t>Samar Bagh</t>
  </si>
  <si>
    <t>Swat Distt:</t>
  </si>
  <si>
    <t>Swat</t>
  </si>
  <si>
    <t>Matta</t>
  </si>
  <si>
    <t>Shangla Distt:</t>
  </si>
  <si>
    <t>Alpuri</t>
  </si>
  <si>
    <t>Besham</t>
  </si>
  <si>
    <t>Chakaisar</t>
  </si>
  <si>
    <t>Puran</t>
  </si>
  <si>
    <t>Martoong</t>
  </si>
  <si>
    <t>Buner Distt:</t>
  </si>
  <si>
    <t>Buner</t>
  </si>
  <si>
    <t>Malakand Distt:</t>
  </si>
  <si>
    <t>Swat Ranizai</t>
  </si>
  <si>
    <t>Sam Ranizai</t>
  </si>
  <si>
    <t>Latkoh</t>
  </si>
  <si>
    <t>Drosh</t>
  </si>
  <si>
    <t>Malkoh</t>
  </si>
  <si>
    <t>Tarkhow</t>
  </si>
  <si>
    <t>Arando</t>
  </si>
  <si>
    <t>(Numbers)</t>
  </si>
  <si>
    <t>(Continued)</t>
  </si>
  <si>
    <t>District</t>
  </si>
  <si>
    <t>Kohistan</t>
  </si>
  <si>
    <t>Chitral</t>
  </si>
  <si>
    <t>Shangla</t>
  </si>
  <si>
    <t>Malakand</t>
  </si>
  <si>
    <t>Pop: per Hospital/ Disp: beds</t>
  </si>
  <si>
    <t>Doctors</t>
  </si>
  <si>
    <t>Dental Surgeons</t>
  </si>
  <si>
    <t>Nurses</t>
  </si>
  <si>
    <t>Nurse Dias</t>
  </si>
  <si>
    <t>Dias</t>
  </si>
  <si>
    <t>Other Para Medical staff</t>
  </si>
  <si>
    <t>Total</t>
  </si>
  <si>
    <t>Male</t>
  </si>
  <si>
    <t>Female</t>
  </si>
  <si>
    <t>Year</t>
  </si>
  <si>
    <t>Packets of Oral Rehydration Salt Distributed</t>
  </si>
  <si>
    <t>BCG</t>
  </si>
  <si>
    <t>OPV-0</t>
  </si>
  <si>
    <t>T.T-I</t>
  </si>
  <si>
    <t>T.T-II</t>
  </si>
  <si>
    <t>T.T-III</t>
  </si>
  <si>
    <t>T.T-IV</t>
  </si>
  <si>
    <t>T.T-V</t>
  </si>
  <si>
    <t>B.C.G</t>
  </si>
  <si>
    <t>OPV/DPT</t>
  </si>
  <si>
    <t>Tetanus Toxoid</t>
  </si>
  <si>
    <t>T.T-1</t>
  </si>
  <si>
    <t>T.T-2</t>
  </si>
  <si>
    <t>T.T-3</t>
  </si>
  <si>
    <t>T.T-4</t>
  </si>
  <si>
    <t>T.T-5</t>
  </si>
  <si>
    <t>(Coninued)</t>
  </si>
  <si>
    <t>Measles</t>
  </si>
  <si>
    <t>Blood Slides Examined</t>
  </si>
  <si>
    <t>Malaria Cases</t>
  </si>
  <si>
    <t>Malaria Cases treated</t>
  </si>
  <si>
    <t>Indoor</t>
  </si>
  <si>
    <t>Outdoor</t>
  </si>
  <si>
    <t>Totalai</t>
  </si>
  <si>
    <t>OPV/ DPT-II</t>
  </si>
  <si>
    <t>OPV/ DPT-III</t>
  </si>
  <si>
    <t xml:space="preserve">Other Para Medical staff </t>
  </si>
  <si>
    <t>Government</t>
  </si>
  <si>
    <t>Private</t>
  </si>
  <si>
    <t xml:space="preserve">Dias </t>
  </si>
  <si>
    <t>Khyber Pakhtunkhwa</t>
  </si>
  <si>
    <t>DISTRICT WISE NUMBER OF MEDICAL &amp; PARAMEDICAL STAFF ACTUALLY POSTED IN KHYBER PAKHTUNKHWA</t>
  </si>
  <si>
    <t>DISTRICT WISE NUMBER OF REGISTERED PRIVATE MEDICAL PRACTITIONERS IN KHYBER PAKHTUNKHWA</t>
  </si>
  <si>
    <t>DISTRICT WISE NUMBER OF PATIENTS TREATED IN 
KHYBER PAKHTUNKHWA</t>
  </si>
  <si>
    <t>EXPANDED PROGRAMME ON IMMUNIZATION IN 
KHYBER PAKHTUNKHWA</t>
  </si>
  <si>
    <t>DISTRICT WISE MALARIA CONTROL ACTIVITIES IN KHYBER PAKHTUNKHWA</t>
  </si>
  <si>
    <t xml:space="preserve">Radialogists </t>
  </si>
  <si>
    <t>Radialogists</t>
  </si>
  <si>
    <t>Havailian</t>
  </si>
  <si>
    <t>Serai Naurang</t>
  </si>
  <si>
    <t>Tor Ghar</t>
  </si>
  <si>
    <t xml:space="preserve">Primary Health Technician (LHV's) </t>
  </si>
  <si>
    <t>Table No. 126</t>
  </si>
  <si>
    <t>Table No. 127</t>
  </si>
  <si>
    <t>Table No. 128</t>
  </si>
  <si>
    <t>Table No. 129</t>
  </si>
  <si>
    <t>Dir Lower</t>
  </si>
  <si>
    <t>Dir Upper</t>
  </si>
  <si>
    <t>Hospitals/Dispens-aries Beds</t>
  </si>
  <si>
    <t>Table No. 130</t>
  </si>
  <si>
    <t>Table No. 131</t>
  </si>
  <si>
    <t>Popul-ation</t>
  </si>
  <si>
    <r>
      <rPr>
        <b/>
        <sz val="9"/>
        <rFont val="Arial"/>
        <family val="2"/>
      </rPr>
      <t>BCG</t>
    </r>
    <r>
      <rPr>
        <sz val="9"/>
        <rFont val="Arial"/>
        <family val="2"/>
      </rPr>
      <t xml:space="preserve"> = Bacillus of Calmette and Guerin.</t>
    </r>
  </si>
  <si>
    <r>
      <rPr>
        <b/>
        <sz val="9"/>
        <rFont val="Arial"/>
        <family val="2"/>
      </rPr>
      <t>DPT</t>
    </r>
    <r>
      <rPr>
        <sz val="9"/>
        <rFont val="Arial"/>
        <family val="2"/>
      </rPr>
      <t xml:space="preserve">  = Diphtheria, Pertussis and Tetanus.</t>
    </r>
  </si>
  <si>
    <r>
      <rPr>
        <b/>
        <sz val="9"/>
        <rFont val="Arial"/>
        <family val="2"/>
      </rPr>
      <t xml:space="preserve">DT </t>
    </r>
    <r>
      <rPr>
        <sz val="9"/>
        <rFont val="Arial"/>
        <family val="2"/>
      </rPr>
      <t xml:space="preserve">   = Diphtheria and Tetanus.</t>
    </r>
  </si>
  <si>
    <t xml:space="preserve">Dir Lower </t>
  </si>
  <si>
    <t xml:space="preserve">Dir Upper </t>
  </si>
  <si>
    <r>
      <t xml:space="preserve">Source: </t>
    </r>
    <r>
      <rPr>
        <sz val="9"/>
        <rFont val="Arial"/>
        <family val="2"/>
      </rPr>
      <t>Director General Health Services, Khyber Pakhtunkhwa, Peshawar</t>
    </r>
  </si>
  <si>
    <r>
      <t>Source:</t>
    </r>
    <r>
      <rPr>
        <sz val="9"/>
        <rFont val="Arial"/>
        <family val="2"/>
      </rPr>
      <t xml:space="preserve"> Director General Health Services, Khyber Pakhtunkhwa, Peshawar</t>
    </r>
  </si>
  <si>
    <r>
      <t xml:space="preserve">Source: </t>
    </r>
    <r>
      <rPr>
        <sz val="9"/>
        <rFont val="Arial"/>
        <family val="2"/>
      </rPr>
      <t>Director General, Health Services, Khyber Pakhtunkhwa, Peshawar</t>
    </r>
  </si>
  <si>
    <t xml:space="preserve">                 2) The data of medical and  teaching instituion (MTI) is not included in this table.</t>
  </si>
  <si>
    <r>
      <t xml:space="preserve">Note:    </t>
    </r>
    <r>
      <rPr>
        <sz val="9"/>
        <rFont val="Arial"/>
        <family val="2"/>
      </rPr>
      <t xml:space="preserve">   1) Outdoor patients include Old &amp; New cases.</t>
    </r>
  </si>
  <si>
    <r>
      <t>Source:</t>
    </r>
    <r>
      <rPr>
        <sz val="9"/>
        <rFont val="Arial"/>
        <family val="2"/>
      </rPr>
      <t xml:space="preserve"> Director General, Health Services, Khyber Pakhtunkhwa, Peshawar</t>
    </r>
  </si>
  <si>
    <r>
      <t xml:space="preserve">Source:  </t>
    </r>
    <r>
      <rPr>
        <sz val="9"/>
        <rFont val="Arial"/>
        <family val="2"/>
      </rPr>
      <t xml:space="preserve"> Director General Health Services, Khyber Pakhtunkhwa, Peshawar</t>
    </r>
  </si>
  <si>
    <t>Table No. 132</t>
  </si>
  <si>
    <t>Table No. 133</t>
  </si>
  <si>
    <t>(2017-18) (Children &amp; Women)</t>
  </si>
  <si>
    <t>2017-18</t>
  </si>
  <si>
    <t>(1.1.2018)</t>
  </si>
  <si>
    <t>1.1.2018</t>
  </si>
  <si>
    <t>(1/1/2018)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</si>
  <si>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</si>
  <si>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</si>
  <si>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</si>
  <si>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</si>
  <si>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</si>
  <si>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</si>
  <si>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</si>
  <si>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Bajaur</t>
  </si>
  <si>
    <t>(1.1.2019)</t>
  </si>
  <si>
    <t xml:space="preserve">TorGhar </t>
  </si>
  <si>
    <t>(1/1/2019)</t>
  </si>
  <si>
    <t>TorGhar Distt:</t>
  </si>
  <si>
    <t>TorGhar</t>
  </si>
  <si>
    <t>1.1.2019</t>
  </si>
  <si>
    <t>2018-19</t>
  </si>
  <si>
    <t>(2018-19) (Children &amp; Women)</t>
  </si>
  <si>
    <t xml:space="preserve">Primary Health Technician (LHVs) </t>
  </si>
  <si>
    <t>DISTRICT WISE EXPANDED PROGRAMME ON IMMUNIZATION  IN 
KHYBER PAKHTUNKHWA</t>
  </si>
  <si>
    <t>Thall</t>
  </si>
  <si>
    <t>Khyber
Pakhtunkhwa</t>
  </si>
  <si>
    <t>OPV/ DPT-I</t>
  </si>
  <si>
    <t>(1.1.2020)</t>
  </si>
  <si>
    <t>(1/1/2020)</t>
  </si>
  <si>
    <t>1.1.2020</t>
  </si>
  <si>
    <t>2019-20</t>
  </si>
  <si>
    <t>(2019-20) (Children &amp; Women)</t>
  </si>
  <si>
    <t>Tor Ghar Distt:</t>
  </si>
  <si>
    <t>S.Waziristan Distt:</t>
  </si>
  <si>
    <t>N.Waziristan Distt:</t>
  </si>
  <si>
    <t>Mohmand Distt:</t>
  </si>
  <si>
    <t>Kurram Distt:</t>
  </si>
  <si>
    <t>Khyber Distt:</t>
  </si>
  <si>
    <t>Dir Upper Distt:</t>
  </si>
  <si>
    <t>Dir Lower Distt:</t>
  </si>
  <si>
    <t>Bajaur Distt:</t>
  </si>
  <si>
    <t>Orakzai Distt:</t>
  </si>
  <si>
    <t>Domile</t>
  </si>
  <si>
    <t>Daggar</t>
  </si>
  <si>
    <t>Gagra</t>
  </si>
  <si>
    <t>Khadokhel</t>
  </si>
  <si>
    <t>Malkoh Torkho</t>
  </si>
  <si>
    <t>Munda</t>
  </si>
  <si>
    <t>Balambat</t>
  </si>
  <si>
    <t>Khall</t>
  </si>
  <si>
    <t>Lal Qilla</t>
  </si>
  <si>
    <t>Adenzai</t>
  </si>
  <si>
    <t>Kalkot</t>
  </si>
  <si>
    <t>Barawal</t>
  </si>
  <si>
    <t>Lachi</t>
  </si>
  <si>
    <t>Dargai</t>
  </si>
  <si>
    <t>Batkhela</t>
  </si>
  <si>
    <t>Katlung</t>
  </si>
  <si>
    <t>Aloch</t>
  </si>
  <si>
    <t>Razzar</t>
  </si>
  <si>
    <t>Topi</t>
  </si>
  <si>
    <t>Yar Hussain</t>
  </si>
  <si>
    <t>Babuzai</t>
  </si>
  <si>
    <t>Bahrain</t>
  </si>
  <si>
    <t>Barikot</t>
  </si>
  <si>
    <t>Charbagh</t>
  </si>
  <si>
    <t>Kabal</t>
  </si>
  <si>
    <t>Khwazakhela</t>
  </si>
  <si>
    <t>Havelian</t>
  </si>
  <si>
    <t>Hospital</t>
  </si>
  <si>
    <t>Peshawar Institute of Cardiology</t>
  </si>
  <si>
    <t>Mardan Medical Complex</t>
  </si>
  <si>
    <t>Khyber Teaching Hospital, Peshawar</t>
  </si>
  <si>
    <t>Hayatabad Medical Complex, Peshawar</t>
  </si>
  <si>
    <t>Ayub Teaching Hospital, Abbottabad</t>
  </si>
  <si>
    <t>-</t>
  </si>
  <si>
    <r>
      <t>Note:</t>
    </r>
    <r>
      <rPr>
        <sz val="9"/>
        <rFont val="Arial"/>
        <family val="2"/>
      </rPr>
      <t xml:space="preserve"> 1) The data pertains to 1st January of the respective year</t>
    </r>
  </si>
  <si>
    <t>DISTRICT WISE NUMBER OF MEDICAL &amp; PARAMEDICAL STAFF POSTED IN KHYBER PAKHTUNKHWA</t>
  </si>
  <si>
    <t>Nurse Dais</t>
  </si>
  <si>
    <t>Dais</t>
  </si>
  <si>
    <t xml:space="preserve"> NUMBER OF MEDICAL &amp; PARAMEDICAL STAFF IN MEDICAL TEACHING INSTITUTES, KHYBER PAKHTUNKHWA</t>
  </si>
  <si>
    <t>Lady Reading Hospital, Peshawar</t>
  </si>
  <si>
    <t>Qazi Hussain Ahmed Medical Complex, Nowshera</t>
  </si>
  <si>
    <t>Khalifa Gul Nawaz Hospital, Bannu</t>
  </si>
  <si>
    <r>
      <rPr>
        <b/>
        <sz val="9"/>
        <rFont val="Arial"/>
        <family val="2"/>
      </rPr>
      <t>(</t>
    </r>
    <r>
      <rPr>
        <b/>
        <sz val="10"/>
        <rFont val="Arial"/>
        <family val="2"/>
      </rPr>
      <t>*</t>
    </r>
    <r>
      <rPr>
        <b/>
        <sz val="9"/>
        <rFont val="Arial"/>
        <family val="2"/>
      </rPr>
      <t>)</t>
    </r>
    <r>
      <rPr>
        <sz val="9"/>
        <rFont val="Arial"/>
        <family val="2"/>
      </rPr>
      <t xml:space="preserve"> = Including Private Institutions.</t>
    </r>
  </si>
  <si>
    <t>Hospitals*</t>
  </si>
  <si>
    <t>S.No.</t>
  </si>
  <si>
    <t>Mufti Mehmood Memorial Hospital, Dera Ismail Khan</t>
  </si>
  <si>
    <r>
      <t>Note:</t>
    </r>
    <r>
      <rPr>
        <sz val="9"/>
        <rFont val="Arial"/>
        <family val="2"/>
      </rPr>
      <t xml:space="preserve"> 1) Including Private Institutions Beds.</t>
    </r>
  </si>
  <si>
    <r>
      <t xml:space="preserve">T.T  </t>
    </r>
    <r>
      <rPr>
        <sz val="9"/>
        <rFont val="Arial"/>
        <family val="2"/>
      </rPr>
      <t xml:space="preserve"> = Tetanus Toxoid.</t>
    </r>
    <r>
      <rPr>
        <b/>
        <sz val="9"/>
        <rFont val="Arial"/>
        <family val="2"/>
      </rPr>
      <t xml:space="preserve"> </t>
    </r>
  </si>
  <si>
    <r>
      <t xml:space="preserve">OPV </t>
    </r>
    <r>
      <rPr>
        <sz val="9"/>
        <rFont val="Arial"/>
        <family val="2"/>
      </rPr>
      <t>= Oral Polio Vaccine.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</si>
  <si>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</t>
    </r>
  </si>
  <si>
    <t>Respective MTIs.</t>
  </si>
  <si>
    <t>Table No. 134</t>
  </si>
  <si>
    <t>Table No. 135</t>
  </si>
  <si>
    <r>
      <t>Sourece:</t>
    </r>
    <r>
      <rPr>
        <sz val="9"/>
        <rFont val="Arial"/>
        <family val="2"/>
      </rPr>
      <t xml:space="preserve">     Director General Health Services, Khyber Pakhtunkhwa, Peshawar</t>
    </r>
  </si>
  <si>
    <t xml:space="preserve">          2) The data includes health institutions of Merged Areas.</t>
  </si>
  <si>
    <t>Khyber 
Pakhtunkhwa</t>
  </si>
  <si>
    <t>Sub Health
Centres</t>
  </si>
  <si>
    <t>MCH
Centres</t>
  </si>
  <si>
    <t>Other Para Medical Staff</t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</si>
  <si>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D.H.I.S, DG Health Services, Khyber  Pakhtunkhwa, Peshawar</t>
    </r>
  </si>
  <si>
    <t xml:space="preserve">Other Para Medical Staff </t>
  </si>
  <si>
    <t>DISTRICT WISE DISTRIBUTION OF ORAL REHYDRATION
SALT (ORS) IN KHYBER PAKHTUNKHWA</t>
  </si>
  <si>
    <r>
      <t>Note:</t>
    </r>
    <r>
      <rPr>
        <sz val="9"/>
        <rFont val="Arial"/>
        <family val="2"/>
      </rPr>
      <t xml:space="preserve">   Tetanus Toxoid shows vaccination coverage of women.</t>
    </r>
  </si>
  <si>
    <t>Table No. 125</t>
  </si>
  <si>
    <t>DISTRICT WISE POPULATION PER HOSPITAL/DISPENSARY BED IN                              KHYBER PAKHTUNKHWA</t>
  </si>
  <si>
    <t>Table No. 124</t>
  </si>
  <si>
    <t>Table No. 123</t>
  </si>
  <si>
    <t>HEALTH INSTITUTIONS AND BED STRENGTH IN 
KHYBER PAKHTUNKHWA</t>
  </si>
  <si>
    <t>DISTRICT/TEHSIL WISE NUMBER OF GOVERNMENT HEALTH INSTITUTIONS AND BED STRENGTH IN KHYBER PAKHTUNKHWA</t>
  </si>
  <si>
    <t>DISTRICT/TEHSIL WISE NUMBER OF HOSPITALS AND BED STRENGTH IN KHYBER PAKHTUNKHWA</t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</si>
  <si>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MTIs data not included.</t>
    </r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</si>
  <si>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MTIs data included.</t>
    </r>
  </si>
  <si>
    <r>
      <t xml:space="preserve"> </t>
    </r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Khyber Pakhtunkhwa Health Care Commission</t>
    </r>
  </si>
  <si>
    <r>
      <t>Source:</t>
    </r>
    <r>
      <rPr>
        <sz val="9"/>
        <rFont val="Arial"/>
        <family val="2"/>
      </rPr>
      <t xml:space="preserve">     Director General, Health Services, Khyber Pakhtunkhwa, Peshawar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</si>
</sst>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  <charset val="134"/>
    </font>
    <font>
      <b/>
      <sz val="10"/>
      <name val="Arial"/>
      <family val="2"/>
      <charset val="134"/>
    </font>
    <font>
      <sz val="9"/>
      <name val="Arial"/>
      <family val="2"/>
      <charset val="134"/>
    </font>
    <font>
      <sz val="10"/>
      <color theme="1"/>
      <name val="Arial"/>
      <family val="2"/>
      <charset val="134"/>
    </font>
    <font>
      <b/>
      <sz val="14"/>
      <name val="Arial"/>
      <family val="2"/>
      <charset val="134"/>
    </font>
    <font>
      <b/>
      <sz val="9"/>
      <name val="Arial"/>
      <family val="2"/>
      <charset val="134"/>
    </font>
    <font>
      <b/>
      <sz val="10"/>
      <color theme="1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color rgb="FF0F233D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43" fontId="23" fillId="0" borderId="0" applyFont="0" applyFill="0" applyBorder="0" applyAlignment="0" applyProtection="0"/>
  </cellStyleXfs>
  <cellXfs count="2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1" applyFill="1"/>
    <xf numFmtId="0" fontId="2" fillId="0" borderId="0" xfId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0" xfId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0" fontId="2" fillId="0" borderId="0" xfId="1"/>
    <xf numFmtId="0" fontId="1" fillId="0" borderId="0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right"/>
    </xf>
    <xf numFmtId="0" fontId="0" fillId="2" borderId="0" xfId="0" applyFill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1" applyFont="1" applyFill="1"/>
    <xf numFmtId="0" fontId="1" fillId="0" borderId="0" xfId="1" applyFont="1" applyFill="1" applyAlignment="1">
      <alignment vertical="center"/>
    </xf>
    <xf numFmtId="49" fontId="6" fillId="0" borderId="2" xfId="0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1" applyAlignment="1"/>
    <xf numFmtId="0" fontId="0" fillId="0" borderId="0" xfId="0" applyAlignment="1"/>
    <xf numFmtId="0" fontId="20" fillId="0" borderId="1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1" fillId="4" borderId="0" xfId="1" applyFont="1" applyFill="1" applyBorder="1" applyAlignment="1">
      <alignment horizontal="right" vertical="center"/>
    </xf>
    <xf numFmtId="0" fontId="2" fillId="4" borderId="0" xfId="1" applyFill="1" applyBorder="1" applyAlignment="1">
      <alignment horizontal="right" vertical="center"/>
    </xf>
    <xf numFmtId="0" fontId="2" fillId="4" borderId="0" xfId="1" applyFill="1"/>
    <xf numFmtId="0" fontId="1" fillId="4" borderId="0" xfId="1" applyFont="1" applyFill="1" applyAlignment="1">
      <alignment vertical="center"/>
    </xf>
    <xf numFmtId="0" fontId="1" fillId="3" borderId="0" xfId="1" applyFont="1" applyFill="1"/>
    <xf numFmtId="0" fontId="1" fillId="3" borderId="0" xfId="1" applyFont="1" applyFill="1" applyBorder="1" applyAlignment="1">
      <alignment horizontal="right" vertical="center"/>
    </xf>
    <xf numFmtId="0" fontId="1" fillId="3" borderId="0" xfId="1" applyFont="1" applyFill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2" fillId="3" borderId="1" xfId="1" applyNumberForma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3" fontId="19" fillId="3" borderId="1" xfId="0" applyNumberFormat="1" applyFont="1" applyFill="1" applyBorder="1" applyAlignment="1">
      <alignment horizontal="right" vertical="center"/>
    </xf>
    <xf numFmtId="3" fontId="0" fillId="0" borderId="1" xfId="1" applyNumberFormat="1" applyFont="1" applyFill="1" applyBorder="1" applyAlignment="1">
      <alignment vertical="center"/>
    </xf>
    <xf numFmtId="3" fontId="0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 wrapText="1"/>
    </xf>
    <xf numFmtId="0" fontId="2" fillId="3" borderId="0" xfId="1" applyFont="1" applyFill="1"/>
    <xf numFmtId="0" fontId="6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3" fontId="19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right" vertical="center"/>
    </xf>
    <xf numFmtId="3" fontId="12" fillId="3" borderId="11" xfId="0" applyNumberFormat="1" applyFont="1" applyFill="1" applyBorder="1" applyAlignment="1">
      <alignment horizontal="right" vertical="center"/>
    </xf>
    <xf numFmtId="3" fontId="0" fillId="3" borderId="5" xfId="0" applyNumberFormat="1" applyFill="1" applyBorder="1" applyAlignment="1">
      <alignment horizontal="right" vertical="center"/>
    </xf>
    <xf numFmtId="3" fontId="0" fillId="3" borderId="7" xfId="0" applyNumberForma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vertical="center" wrapText="1"/>
    </xf>
    <xf numFmtId="3" fontId="4" fillId="3" borderId="1" xfId="1" applyNumberFormat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0" fontId="2" fillId="3" borderId="0" xfId="1" applyFill="1" applyBorder="1"/>
    <xf numFmtId="0" fontId="6" fillId="3" borderId="0" xfId="1" applyFont="1" applyFill="1" applyAlignment="1">
      <alignment horizontal="right"/>
    </xf>
    <xf numFmtId="164" fontId="4" fillId="3" borderId="1" xfId="2" applyNumberFormat="1" applyFont="1" applyFill="1" applyBorder="1" applyAlignment="1">
      <alignment horizontal="right" vertical="center"/>
    </xf>
    <xf numFmtId="164" fontId="2" fillId="3" borderId="1" xfId="2" applyNumberFormat="1" applyFont="1" applyFill="1" applyBorder="1" applyAlignment="1">
      <alignment horizontal="right" vertical="center"/>
    </xf>
    <xf numFmtId="164" fontId="4" fillId="3" borderId="1" xfId="2" applyNumberFormat="1" applyFont="1" applyFill="1" applyBorder="1" applyAlignment="1">
      <alignment vertical="center"/>
    </xf>
    <xf numFmtId="164" fontId="2" fillId="3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6" fillId="0" borderId="0" xfId="1" applyFont="1"/>
    <xf numFmtId="0" fontId="2" fillId="0" borderId="0" xfId="1" applyFill="1" applyAlignment="1"/>
    <xf numFmtId="0" fontId="2" fillId="3" borderId="12" xfId="0" applyFont="1" applyFill="1" applyBorder="1" applyAlignment="1">
      <alignment horizontal="left" vertical="center"/>
    </xf>
    <xf numFmtId="3" fontId="19" fillId="3" borderId="13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3" fontId="2" fillId="3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4" fillId="0" borderId="8" xfId="2" applyNumberFormat="1" applyFont="1" applyFill="1" applyBorder="1" applyAlignment="1">
      <alignment horizontal="right" vertical="center" wrapText="1"/>
    </xf>
    <xf numFmtId="164" fontId="0" fillId="0" borderId="8" xfId="2" applyNumberFormat="1" applyFont="1" applyBorder="1" applyAlignment="1">
      <alignment horizontal="right" vertical="center" wrapText="1"/>
    </xf>
    <xf numFmtId="164" fontId="0" fillId="0" borderId="8" xfId="2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6" fillId="0" borderId="0" xfId="0" applyFont="1" applyFill="1" applyAlignment="1">
      <alignment horizontal="right"/>
    </xf>
    <xf numFmtId="0" fontId="1" fillId="0" borderId="0" xfId="1" applyFont="1" applyFill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3" fontId="5" fillId="3" borderId="10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" fillId="0" borderId="0" xfId="1" applyFont="1" applyFill="1" applyBorder="1"/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0" xfId="1" applyFont="1" applyFill="1" applyAlignment="1">
      <alignment horizontal="right"/>
    </xf>
    <xf numFmtId="0" fontId="14" fillId="0" borderId="0" xfId="1" applyFont="1" applyFill="1" applyAlignment="1"/>
    <xf numFmtId="0" fontId="5" fillId="0" borderId="8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vertical="center" wrapText="1"/>
    </xf>
    <xf numFmtId="1" fontId="13" fillId="0" borderId="8" xfId="1" applyNumberFormat="1" applyFont="1" applyFill="1" applyBorder="1" applyAlignment="1">
      <alignment horizontal="right" vertical="center"/>
    </xf>
    <xf numFmtId="0" fontId="13" fillId="0" borderId="8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1" fontId="12" fillId="0" borderId="8" xfId="1" applyNumberFormat="1" applyFont="1" applyFill="1" applyBorder="1" applyAlignment="1">
      <alignment horizontal="right" vertical="center"/>
    </xf>
    <xf numFmtId="1" fontId="15" fillId="0" borderId="8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4" fillId="0" borderId="0" xfId="1" applyFont="1" applyFill="1" applyAlignment="1">
      <alignment horizontal="right"/>
    </xf>
    <xf numFmtId="3" fontId="13" fillId="0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Fill="1" applyBorder="1" applyAlignment="1">
      <alignment horizontal="right" vertical="center"/>
    </xf>
    <xf numFmtId="3" fontId="15" fillId="0" borderId="8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3" fontId="18" fillId="0" borderId="8" xfId="1" applyNumberFormat="1" applyFont="1" applyFill="1" applyBorder="1" applyAlignment="1">
      <alignment horizontal="right" vertical="center"/>
    </xf>
    <xf numFmtId="3" fontId="21" fillId="0" borderId="8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7" fillId="0" borderId="0" xfId="1" applyFont="1" applyFill="1" applyAlignment="1"/>
    <xf numFmtId="0" fontId="3" fillId="0" borderId="0" xfId="1" applyFont="1" applyFill="1" applyAlignment="1">
      <alignment vertical="center"/>
    </xf>
    <xf numFmtId="0" fontId="14" fillId="0" borderId="8" xfId="1" applyFont="1" applyFill="1" applyBorder="1" applyAlignment="1"/>
    <xf numFmtId="3" fontId="2" fillId="0" borderId="8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1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0" fontId="2" fillId="3" borderId="0" xfId="1" applyFill="1" applyAlignment="1"/>
    <xf numFmtId="0" fontId="12" fillId="3" borderId="0" xfId="1" applyFont="1" applyFill="1" applyAlignment="1"/>
    <xf numFmtId="0" fontId="13" fillId="3" borderId="8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vertical="center" wrapText="1"/>
    </xf>
    <xf numFmtId="3" fontId="13" fillId="3" borderId="8" xfId="1" applyNumberFormat="1" applyFont="1" applyFill="1" applyBorder="1" applyAlignment="1">
      <alignment horizontal="right" vertical="center"/>
    </xf>
    <xf numFmtId="0" fontId="13" fillId="3" borderId="8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/>
    </xf>
    <xf numFmtId="3" fontId="12" fillId="3" borderId="8" xfId="1" applyNumberFormat="1" applyFont="1" applyFill="1" applyBorder="1" applyAlignment="1">
      <alignment horizontal="right" vertical="center"/>
    </xf>
    <xf numFmtId="3" fontId="2" fillId="3" borderId="8" xfId="1" applyNumberFormat="1" applyFill="1" applyBorder="1" applyAlignment="1">
      <alignment horizontal="right" vertical="center"/>
    </xf>
    <xf numFmtId="0" fontId="2" fillId="3" borderId="8" xfId="1" applyFont="1" applyFill="1" applyBorder="1" applyAlignment="1">
      <alignment vertical="center"/>
    </xf>
    <xf numFmtId="0" fontId="14" fillId="3" borderId="0" xfId="1" applyFont="1" applyFill="1" applyAlignment="1">
      <alignment horizontal="right"/>
    </xf>
    <xf numFmtId="3" fontId="15" fillId="3" borderId="8" xfId="1" applyNumberFormat="1" applyFont="1" applyFill="1" applyBorder="1" applyAlignment="1">
      <alignment horizontal="right" vertical="center"/>
    </xf>
    <xf numFmtId="0" fontId="12" fillId="3" borderId="0" xfId="1" applyFont="1" applyFill="1" applyBorder="1" applyAlignment="1">
      <alignment vertical="center"/>
    </xf>
    <xf numFmtId="3" fontId="12" fillId="3" borderId="0" xfId="1" applyNumberFormat="1" applyFont="1" applyFill="1" applyBorder="1" applyAlignment="1">
      <alignment horizontal="right" vertical="center"/>
    </xf>
    <xf numFmtId="3" fontId="21" fillId="3" borderId="8" xfId="1" applyNumberFormat="1" applyFont="1" applyFill="1" applyBorder="1" applyAlignment="1">
      <alignment horizontal="right" vertical="center"/>
    </xf>
    <xf numFmtId="3" fontId="4" fillId="3" borderId="8" xfId="1" applyNumberFormat="1" applyFont="1" applyFill="1" applyBorder="1" applyAlignment="1">
      <alignment horizontal="right" vertical="center"/>
    </xf>
    <xf numFmtId="0" fontId="2" fillId="3" borderId="0" xfId="1" applyFont="1" applyFill="1" applyBorder="1" applyAlignment="1">
      <alignment horizontal="right" vertical="center"/>
    </xf>
    <xf numFmtId="0" fontId="2" fillId="3" borderId="0" xfId="1" applyFill="1"/>
    <xf numFmtId="0" fontId="6" fillId="3" borderId="0" xfId="1" applyFont="1" applyFill="1"/>
    <xf numFmtId="0" fontId="1" fillId="3" borderId="0" xfId="1" applyFont="1" applyFill="1" applyAlignment="1">
      <alignment horizontal="right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3" fontId="2" fillId="3" borderId="8" xfId="1" applyNumberFormat="1" applyFont="1" applyFill="1" applyBorder="1" applyAlignment="1">
      <alignment horizontal="right" vertical="center"/>
    </xf>
    <xf numFmtId="3" fontId="4" fillId="3" borderId="8" xfId="1" applyNumberFormat="1" applyFont="1" applyFill="1" applyBorder="1"/>
    <xf numFmtId="0" fontId="21" fillId="3" borderId="8" xfId="1" applyFont="1" applyFill="1" applyBorder="1" applyAlignment="1">
      <alignment horizontal="right" vertical="center"/>
    </xf>
    <xf numFmtId="3" fontId="13" fillId="3" borderId="8" xfId="1" applyNumberFormat="1" applyFont="1" applyFill="1" applyBorder="1"/>
    <xf numFmtId="0" fontId="12" fillId="3" borderId="0" xfId="1" applyFont="1" applyFill="1"/>
    <xf numFmtId="3" fontId="2" fillId="3" borderId="0" xfId="1" applyNumberFormat="1" applyFont="1" applyFill="1" applyBorder="1" applyAlignment="1">
      <alignment horizontal="right" vertical="center"/>
    </xf>
    <xf numFmtId="3" fontId="15" fillId="3" borderId="0" xfId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horizontal="right"/>
    </xf>
    <xf numFmtId="0" fontId="12" fillId="3" borderId="8" xfId="1" applyFont="1" applyFill="1" applyBorder="1" applyAlignment="1"/>
    <xf numFmtId="0" fontId="14" fillId="3" borderId="8" xfId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3" borderId="0" xfId="1" applyFont="1" applyFill="1" applyAlignment="1"/>
    <xf numFmtId="0" fontId="6" fillId="3" borderId="0" xfId="1" applyFont="1" applyFill="1" applyAlignment="1"/>
    <xf numFmtId="0" fontId="1" fillId="0" borderId="0" xfId="0" applyFont="1" applyFill="1" applyBorder="1" applyAlignment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3" borderId="2" xfId="1" applyFont="1" applyFill="1" applyBorder="1" applyAlignment="1">
      <alignment horizontal="right"/>
    </xf>
    <xf numFmtId="0" fontId="1" fillId="3" borderId="0" xfId="1" applyFont="1" applyFill="1" applyAlignment="1">
      <alignment horizontal="right" vertical="center"/>
    </xf>
    <xf numFmtId="0" fontId="17" fillId="0" borderId="2" xfId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6" fillId="0" borderId="0" xfId="1" applyFont="1" applyFill="1" applyAlignment="1">
      <alignment horizontal="center" vertical="top" wrapText="1"/>
    </xf>
    <xf numFmtId="0" fontId="14" fillId="0" borderId="0" xfId="1" applyFont="1" applyFill="1" applyAlignment="1">
      <alignment horizontal="right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textRotation="90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horizontal="center" vertical="top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top" wrapText="1"/>
    </xf>
    <xf numFmtId="0" fontId="4" fillId="0" borderId="4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0" fontId="7" fillId="0" borderId="0" xfId="1" applyFont="1" applyFill="1" applyAlignment="1">
      <alignment horizontal="center" vertical="top"/>
    </xf>
    <xf numFmtId="0" fontId="4" fillId="0" borderId="1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3"/>
  <sheetViews>
    <sheetView view="pageBreakPreview" zoomScaleNormal="100" zoomScaleSheetLayoutView="100" workbookViewId="0">
      <selection activeCell="I12" sqref="I12"/>
    </sheetView>
  </sheetViews>
  <sheetFormatPr defaultRowHeight="12.75"/>
  <cols>
    <col min="1" max="1" width="11.28515625" customWidth="1"/>
    <col min="2" max="9" width="8.7109375" customWidth="1"/>
  </cols>
  <sheetData>
    <row r="1" spans="1:9" ht="60" customHeight="1">
      <c r="A1" s="262" t="s">
        <v>281</v>
      </c>
      <c r="B1" s="262"/>
      <c r="C1" s="262"/>
      <c r="D1" s="262"/>
      <c r="E1" s="262"/>
      <c r="F1" s="262"/>
      <c r="G1" s="262"/>
      <c r="H1" s="262"/>
      <c r="I1" s="262"/>
    </row>
    <row r="2" spans="1:9" s="1" customFormat="1" ht="13.15" customHeight="1">
      <c r="A2" s="1" t="s">
        <v>280</v>
      </c>
    </row>
    <row r="3" spans="1:9" ht="21.95" customHeight="1">
      <c r="A3" s="261" t="s">
        <v>0</v>
      </c>
      <c r="B3" s="261" t="s">
        <v>257</v>
      </c>
      <c r="C3" s="261"/>
      <c r="D3" s="261" t="s">
        <v>4</v>
      </c>
      <c r="E3" s="261"/>
      <c r="F3" s="261" t="s">
        <v>5</v>
      </c>
      <c r="G3" s="261"/>
      <c r="H3" s="261" t="s">
        <v>6</v>
      </c>
      <c r="I3" s="261"/>
    </row>
    <row r="4" spans="1:9" ht="21.95" customHeight="1">
      <c r="A4" s="261"/>
      <c r="B4" s="3" t="s">
        <v>2</v>
      </c>
      <c r="C4" s="3" t="s">
        <v>3</v>
      </c>
      <c r="D4" s="3" t="s">
        <v>2</v>
      </c>
      <c r="E4" s="3" t="s">
        <v>3</v>
      </c>
      <c r="F4" s="3" t="s">
        <v>2</v>
      </c>
      <c r="G4" s="3" t="s">
        <v>3</v>
      </c>
      <c r="H4" s="3" t="s">
        <v>2</v>
      </c>
      <c r="I4" s="3" t="s">
        <v>3</v>
      </c>
    </row>
    <row r="5" spans="1:9" s="48" customFormat="1" ht="21.95" customHeight="1">
      <c r="A5" s="248">
        <v>2018</v>
      </c>
      <c r="B5" s="59">
        <v>283</v>
      </c>
      <c r="C5" s="82">
        <v>21072</v>
      </c>
      <c r="D5" s="83">
        <v>978</v>
      </c>
      <c r="E5" s="59">
        <v>12</v>
      </c>
      <c r="F5" s="59">
        <v>100</v>
      </c>
      <c r="G5" s="59">
        <v>1506</v>
      </c>
      <c r="H5" s="59">
        <v>74</v>
      </c>
      <c r="I5" s="59">
        <v>52</v>
      </c>
    </row>
    <row r="6" spans="1:9" s="48" customFormat="1" ht="21.95" customHeight="1">
      <c r="A6" s="248">
        <v>2019</v>
      </c>
      <c r="B6" s="59">
        <v>276</v>
      </c>
      <c r="C6" s="82">
        <v>22245</v>
      </c>
      <c r="D6" s="59">
        <v>973</v>
      </c>
      <c r="E6" s="59">
        <v>12</v>
      </c>
      <c r="F6" s="59">
        <v>109</v>
      </c>
      <c r="G6" s="59">
        <v>1582</v>
      </c>
      <c r="H6" s="59">
        <v>74</v>
      </c>
      <c r="I6" s="59">
        <v>52</v>
      </c>
    </row>
    <row r="7" spans="1:9" ht="21.95" customHeight="1">
      <c r="A7" s="248">
        <v>2020</v>
      </c>
      <c r="B7" s="59">
        <v>287</v>
      </c>
      <c r="C7" s="82">
        <v>22837</v>
      </c>
      <c r="D7" s="59">
        <v>973</v>
      </c>
      <c r="E7" s="59">
        <v>12</v>
      </c>
      <c r="F7" s="84">
        <v>109</v>
      </c>
      <c r="G7" s="59">
        <v>1582</v>
      </c>
      <c r="H7" s="59">
        <v>74</v>
      </c>
      <c r="I7" s="59">
        <v>52</v>
      </c>
    </row>
    <row r="8" spans="1:9" ht="12" customHeight="1"/>
    <row r="9" spans="1:9" ht="13.15" customHeight="1">
      <c r="A9" s="9" t="s">
        <v>248</v>
      </c>
      <c r="B9" s="1"/>
      <c r="C9" s="1"/>
      <c r="D9" s="1"/>
      <c r="E9" s="1"/>
      <c r="F9" s="1"/>
      <c r="G9" s="1"/>
      <c r="H9" s="1"/>
      <c r="I9" s="1"/>
    </row>
    <row r="10" spans="1:9" ht="13.15" customHeight="1">
      <c r="A10" s="6" t="s">
        <v>268</v>
      </c>
      <c r="B10" s="1"/>
      <c r="C10" s="1"/>
      <c r="D10" s="1"/>
      <c r="E10" s="1"/>
      <c r="F10" s="1"/>
      <c r="G10" s="1"/>
      <c r="H10" s="1"/>
      <c r="I10" s="1"/>
    </row>
    <row r="11" spans="1:9" ht="13.15" customHeight="1">
      <c r="A11" s="6" t="s">
        <v>256</v>
      </c>
      <c r="B11" s="1"/>
      <c r="C11" s="1"/>
      <c r="D11" s="1"/>
      <c r="E11" s="1"/>
      <c r="F11" s="1"/>
      <c r="G11" s="1"/>
      <c r="H11" s="1"/>
      <c r="I11" s="1"/>
    </row>
    <row r="12" spans="1:9" ht="13.15" customHeight="1">
      <c r="A12" s="14"/>
      <c r="B12" s="5"/>
      <c r="C12" s="1"/>
      <c r="E12" s="7"/>
      <c r="F12" s="7"/>
      <c r="G12" s="7"/>
      <c r="H12" s="7"/>
      <c r="I12" s="8" t="s">
        <v>164</v>
      </c>
    </row>
    <row r="13" spans="1:9">
      <c r="A13" s="1"/>
      <c r="B13" s="1"/>
      <c r="C13" s="1"/>
    </row>
  </sheetData>
  <mergeCells count="6">
    <mergeCell ref="H3:I3"/>
    <mergeCell ref="A1:I1"/>
    <mergeCell ref="A3:A4"/>
    <mergeCell ref="B3:C3"/>
    <mergeCell ref="D3:E3"/>
    <mergeCell ref="F3:G3"/>
  </mergeCells>
  <phoneticPr fontId="0" type="noConversion"/>
  <pageMargins left="0.98425196850393704" right="0.74803149606299213" top="0.98425196850393704" bottom="0.98425196850393704" header="0.51181102362204722" footer="0.51181102362204722"/>
  <pageSetup paperSize="9" firstPageNumber="168" orientation="portrait" useFirstPageNumber="1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4"/>
  <sheetViews>
    <sheetView view="pageBreakPreview" zoomScaleSheetLayoutView="100" workbookViewId="0">
      <selection activeCell="I12" sqref="I12"/>
    </sheetView>
  </sheetViews>
  <sheetFormatPr defaultColWidth="9.140625" defaultRowHeight="12.75"/>
  <cols>
    <col min="1" max="1" width="12.140625" style="32" customWidth="1"/>
    <col min="2" max="3" width="9.28515625" style="32" customWidth="1"/>
    <col min="4" max="4" width="11" style="32" bestFit="1" customWidth="1"/>
    <col min="5" max="5" width="11.5703125" style="32" bestFit="1" customWidth="1"/>
    <col min="6" max="6" width="12.140625" style="32" bestFit="1" customWidth="1"/>
    <col min="7" max="12" width="9.28515625" style="32" customWidth="1"/>
    <col min="13" max="16384" width="9.140625" style="32"/>
  </cols>
  <sheetData>
    <row r="1" spans="1:18" ht="60" customHeight="1">
      <c r="A1" s="288" t="s">
        <v>141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8" s="35" customFormat="1" ht="13.15" customHeight="1">
      <c r="A2" s="35" t="s">
        <v>172</v>
      </c>
    </row>
    <row r="3" spans="1:18" ht="25.5" customHeight="1">
      <c r="A3" s="46" t="s">
        <v>106</v>
      </c>
      <c r="B3" s="46" t="s">
        <v>108</v>
      </c>
      <c r="C3" s="46" t="s">
        <v>109</v>
      </c>
      <c r="D3" s="46" t="s">
        <v>198</v>
      </c>
      <c r="E3" s="46" t="s">
        <v>131</v>
      </c>
      <c r="F3" s="46" t="s">
        <v>132</v>
      </c>
      <c r="G3" s="46" t="s">
        <v>124</v>
      </c>
      <c r="H3" s="46" t="s">
        <v>110</v>
      </c>
      <c r="I3" s="46" t="s">
        <v>111</v>
      </c>
      <c r="J3" s="46" t="s">
        <v>112</v>
      </c>
      <c r="K3" s="46" t="s">
        <v>113</v>
      </c>
      <c r="L3" s="46" t="s">
        <v>114</v>
      </c>
    </row>
    <row r="4" spans="1:18" s="47" customFormat="1" ht="25.5" customHeight="1">
      <c r="A4" s="249" t="s">
        <v>174</v>
      </c>
      <c r="B4" s="72">
        <v>1144231</v>
      </c>
      <c r="C4" s="72">
        <v>1028918</v>
      </c>
      <c r="D4" s="72">
        <v>1066132</v>
      </c>
      <c r="E4" s="72">
        <v>907410</v>
      </c>
      <c r="F4" s="72">
        <v>792633</v>
      </c>
      <c r="G4" s="72">
        <v>846723</v>
      </c>
      <c r="H4" s="72">
        <v>847846</v>
      </c>
      <c r="I4" s="72">
        <v>638957</v>
      </c>
      <c r="J4" s="72">
        <v>148989</v>
      </c>
      <c r="K4" s="72">
        <v>40238</v>
      </c>
      <c r="L4" s="72">
        <v>16649</v>
      </c>
      <c r="M4" s="122"/>
      <c r="N4" s="122"/>
      <c r="O4" s="122"/>
      <c r="P4" s="122"/>
      <c r="Q4" s="122"/>
      <c r="R4" s="122"/>
    </row>
    <row r="5" spans="1:18" s="47" customFormat="1" ht="25.5" customHeight="1">
      <c r="A5" s="249" t="s">
        <v>192</v>
      </c>
      <c r="B5" s="100">
        <v>1135450</v>
      </c>
      <c r="C5" s="100">
        <v>962483</v>
      </c>
      <c r="D5" s="68">
        <v>1131759</v>
      </c>
      <c r="E5" s="72">
        <v>1032855</v>
      </c>
      <c r="F5" s="72">
        <v>995302</v>
      </c>
      <c r="G5" s="72">
        <v>630505</v>
      </c>
      <c r="H5" s="72">
        <v>787227</v>
      </c>
      <c r="I5" s="72">
        <v>626012</v>
      </c>
      <c r="J5" s="72">
        <v>73002</v>
      </c>
      <c r="K5" s="72">
        <v>19532</v>
      </c>
      <c r="L5" s="72">
        <v>10700</v>
      </c>
      <c r="M5" s="122"/>
      <c r="N5" s="122"/>
      <c r="O5" s="122"/>
      <c r="P5" s="122"/>
      <c r="Q5" s="122"/>
      <c r="R5" s="122"/>
    </row>
    <row r="6" spans="1:18" s="47" customFormat="1" ht="25.5" customHeight="1">
      <c r="A6" s="249" t="s">
        <v>202</v>
      </c>
      <c r="B6" s="100">
        <v>1085944</v>
      </c>
      <c r="C6" s="100">
        <v>894588</v>
      </c>
      <c r="D6" s="68">
        <v>1071039</v>
      </c>
      <c r="E6" s="72">
        <v>951735</v>
      </c>
      <c r="F6" s="72">
        <v>910121</v>
      </c>
      <c r="G6" s="72">
        <v>1037331</v>
      </c>
      <c r="H6" s="72">
        <v>727763</v>
      </c>
      <c r="I6" s="72">
        <v>568301</v>
      </c>
      <c r="J6" s="72">
        <v>61120</v>
      </c>
      <c r="K6" s="72">
        <v>17092</v>
      </c>
      <c r="L6" s="72">
        <v>7847</v>
      </c>
      <c r="M6" s="122"/>
      <c r="N6" s="122"/>
      <c r="O6" s="122"/>
      <c r="P6" s="122"/>
      <c r="Q6" s="122"/>
      <c r="R6" s="122"/>
    </row>
    <row r="7" spans="1:18" s="47" customFormat="1" ht="12.75" customHeight="1">
      <c r="A7" s="154"/>
      <c r="B7" s="155"/>
      <c r="C7" s="155"/>
      <c r="D7" s="156"/>
      <c r="E7" s="157"/>
      <c r="F7" s="157"/>
      <c r="G7" s="157"/>
      <c r="H7" s="157"/>
      <c r="I7" s="157"/>
      <c r="J7" s="157"/>
      <c r="K7" s="157"/>
      <c r="L7" s="157"/>
      <c r="M7" s="122"/>
      <c r="N7" s="122"/>
      <c r="O7" s="122"/>
      <c r="P7" s="122"/>
      <c r="Q7" s="122"/>
      <c r="R7" s="122"/>
    </row>
    <row r="8" spans="1:18" ht="13.15" customHeight="1">
      <c r="A8" s="35" t="s">
        <v>159</v>
      </c>
      <c r="B8" s="35"/>
      <c r="C8" s="35"/>
      <c r="D8" s="35"/>
      <c r="E8" s="35"/>
      <c r="F8" s="35"/>
      <c r="H8" s="35"/>
      <c r="I8" s="35"/>
      <c r="J8" s="35"/>
      <c r="K8" s="35"/>
      <c r="L8" s="34" t="s">
        <v>169</v>
      </c>
    </row>
    <row r="9" spans="1:18" ht="13.15" customHeight="1">
      <c r="A9" s="35" t="s">
        <v>160</v>
      </c>
      <c r="B9" s="35"/>
      <c r="C9" s="35"/>
      <c r="D9" s="35"/>
      <c r="E9" s="35"/>
      <c r="F9" s="35"/>
      <c r="H9" s="35"/>
      <c r="I9" s="35"/>
      <c r="J9" s="35"/>
      <c r="K9" s="35"/>
      <c r="L9" s="35"/>
    </row>
    <row r="10" spans="1:18" ht="13.15" customHeight="1">
      <c r="A10" s="35" t="s">
        <v>161</v>
      </c>
      <c r="B10" s="35"/>
      <c r="C10" s="35"/>
      <c r="D10" s="35"/>
      <c r="E10" s="35"/>
      <c r="F10" s="35"/>
      <c r="H10" s="35"/>
      <c r="I10" s="35"/>
      <c r="J10" s="35"/>
      <c r="K10" s="35"/>
      <c r="L10" s="35"/>
    </row>
    <row r="11" spans="1:18" ht="13.15" customHeight="1">
      <c r="A11" s="121" t="s">
        <v>262</v>
      </c>
      <c r="B11" s="35"/>
      <c r="C11" s="35"/>
      <c r="D11" s="35"/>
      <c r="E11" s="35"/>
      <c r="F11" s="35"/>
      <c r="H11" s="35"/>
      <c r="I11" s="35"/>
      <c r="J11" s="35"/>
      <c r="K11" s="35"/>
      <c r="L11" s="35"/>
    </row>
    <row r="12" spans="1:18" ht="13.15" customHeight="1">
      <c r="A12" s="121" t="s">
        <v>261</v>
      </c>
      <c r="B12" s="35"/>
      <c r="C12" s="35"/>
      <c r="D12" s="35"/>
      <c r="E12" s="35"/>
      <c r="F12" s="35"/>
      <c r="H12" s="35"/>
      <c r="I12" s="35"/>
      <c r="J12" s="35"/>
      <c r="K12" s="35"/>
      <c r="L12" s="35"/>
    </row>
    <row r="13" spans="1:18" ht="13.15" customHeight="1">
      <c r="A13" s="35"/>
      <c r="B13" s="35"/>
      <c r="D13" s="36"/>
      <c r="E13" s="36"/>
      <c r="F13" s="36"/>
      <c r="G13" s="35"/>
      <c r="H13" s="36"/>
      <c r="I13" s="36"/>
      <c r="J13" s="36"/>
      <c r="K13" s="36"/>
    </row>
    <row r="14" spans="1:18">
      <c r="A14" s="35"/>
      <c r="B14" s="35"/>
      <c r="G14" s="35"/>
    </row>
  </sheetData>
  <mergeCells count="1">
    <mergeCell ref="A1:L1"/>
  </mergeCells>
  <printOptions horizontalCentered="1"/>
  <pageMargins left="0.84055118100000004" right="0.59055118110236204" top="0.98425196850393704" bottom="0.98425196850393704" header="0.511811023622047" footer="0.511811023622047"/>
  <pageSetup paperSize="9" orientation="landscape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15"/>
  <sheetViews>
    <sheetView view="pageBreakPreview" topLeftCell="A94" zoomScaleSheetLayoutView="100" workbookViewId="0">
      <selection activeCell="I12" sqref="I12"/>
    </sheetView>
  </sheetViews>
  <sheetFormatPr defaultColWidth="9.140625" defaultRowHeight="13.5"/>
  <cols>
    <col min="1" max="1" width="11.42578125" style="41" customWidth="1"/>
    <col min="2" max="4" width="7.85546875" style="41" bestFit="1" customWidth="1"/>
    <col min="5" max="5" width="8.28515625" style="41" customWidth="1"/>
    <col min="6" max="6" width="6.5703125" style="41" bestFit="1" customWidth="1"/>
    <col min="7" max="7" width="8.42578125" style="41" customWidth="1"/>
    <col min="8" max="10" width="6.5703125" style="41" bestFit="1" customWidth="1"/>
    <col min="11" max="11" width="5.7109375" style="41" bestFit="1" customWidth="1"/>
    <col min="12" max="12" width="6.42578125" style="41" customWidth="1"/>
    <col min="13" max="16384" width="9.140625" style="41"/>
  </cols>
  <sheetData>
    <row r="1" spans="1:16" ht="60" customHeight="1">
      <c r="A1" s="280" t="s">
        <v>195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6" s="27" customFormat="1" ht="13.15" customHeight="1">
      <c r="A2" s="27" t="s">
        <v>265</v>
      </c>
      <c r="E2" s="158" t="s">
        <v>173</v>
      </c>
      <c r="F2" s="158"/>
      <c r="G2" s="158"/>
      <c r="K2" s="284" t="s">
        <v>89</v>
      </c>
      <c r="L2" s="284"/>
    </row>
    <row r="3" spans="1:16" ht="20.100000000000001" customHeight="1">
      <c r="A3" s="290" t="s">
        <v>91</v>
      </c>
      <c r="B3" s="290" t="s">
        <v>115</v>
      </c>
      <c r="C3" s="290" t="s">
        <v>109</v>
      </c>
      <c r="D3" s="291" t="s">
        <v>116</v>
      </c>
      <c r="E3" s="291"/>
      <c r="F3" s="292"/>
      <c r="G3" s="290" t="s">
        <v>124</v>
      </c>
      <c r="H3" s="290" t="s">
        <v>117</v>
      </c>
      <c r="I3" s="290"/>
      <c r="J3" s="290"/>
      <c r="K3" s="290"/>
      <c r="L3" s="290"/>
    </row>
    <row r="4" spans="1:16" ht="20.100000000000001" customHeight="1">
      <c r="A4" s="290"/>
      <c r="B4" s="290"/>
      <c r="C4" s="290"/>
      <c r="D4" s="175">
        <v>1</v>
      </c>
      <c r="E4" s="176">
        <v>2</v>
      </c>
      <c r="F4" s="176">
        <v>3</v>
      </c>
      <c r="G4" s="290"/>
      <c r="H4" s="176" t="s">
        <v>118</v>
      </c>
      <c r="I4" s="176" t="s">
        <v>119</v>
      </c>
      <c r="J4" s="176" t="s">
        <v>120</v>
      </c>
      <c r="K4" s="176" t="s">
        <v>121</v>
      </c>
      <c r="L4" s="176" t="s">
        <v>122</v>
      </c>
    </row>
    <row r="5" spans="1:16" ht="25.5" customHeight="1">
      <c r="A5" s="159" t="s">
        <v>197</v>
      </c>
      <c r="B5" s="151">
        <f>SUM(B6:B37)</f>
        <v>1144231</v>
      </c>
      <c r="C5" s="151">
        <f t="shared" ref="C5:L5" si="0">SUM(C6:C37)</f>
        <v>1028918</v>
      </c>
      <c r="D5" s="151">
        <f t="shared" si="0"/>
        <v>1066132</v>
      </c>
      <c r="E5" s="151">
        <f t="shared" si="0"/>
        <v>907410</v>
      </c>
      <c r="F5" s="151">
        <f t="shared" si="0"/>
        <v>792633</v>
      </c>
      <c r="G5" s="151">
        <f t="shared" si="0"/>
        <v>846723</v>
      </c>
      <c r="H5" s="151">
        <f t="shared" si="0"/>
        <v>847846</v>
      </c>
      <c r="I5" s="151">
        <f t="shared" si="0"/>
        <v>638957</v>
      </c>
      <c r="J5" s="151">
        <f t="shared" si="0"/>
        <v>148989</v>
      </c>
      <c r="K5" s="151">
        <f t="shared" si="0"/>
        <v>40238</v>
      </c>
      <c r="L5" s="151">
        <f t="shared" si="0"/>
        <v>16649</v>
      </c>
    </row>
    <row r="6" spans="1:16" ht="17.45" customHeight="1">
      <c r="A6" s="160" t="s">
        <v>34</v>
      </c>
      <c r="B6" s="73">
        <v>39258</v>
      </c>
      <c r="C6" s="73">
        <v>39258</v>
      </c>
      <c r="D6" s="73">
        <v>39258</v>
      </c>
      <c r="E6" s="73">
        <v>35987</v>
      </c>
      <c r="F6" s="73">
        <v>24428</v>
      </c>
      <c r="G6" s="73">
        <v>37114</v>
      </c>
      <c r="H6" s="73">
        <v>36609</v>
      </c>
      <c r="I6" s="73">
        <v>31191</v>
      </c>
      <c r="J6" s="73">
        <v>1768</v>
      </c>
      <c r="K6" s="73">
        <v>583</v>
      </c>
      <c r="L6" s="73">
        <v>320</v>
      </c>
    </row>
    <row r="7" spans="1:16" ht="17.45" customHeight="1">
      <c r="A7" s="161" t="s">
        <v>178</v>
      </c>
      <c r="B7" s="59">
        <v>40821</v>
      </c>
      <c r="C7" s="59">
        <v>28382</v>
      </c>
      <c r="D7" s="59">
        <v>39632</v>
      </c>
      <c r="E7" s="59">
        <v>34069</v>
      </c>
      <c r="F7" s="59">
        <v>33359</v>
      </c>
      <c r="G7" s="59">
        <v>54909</v>
      </c>
      <c r="H7" s="59">
        <v>28359</v>
      </c>
      <c r="I7" s="59">
        <v>21436</v>
      </c>
      <c r="J7" s="59">
        <v>6260</v>
      </c>
      <c r="K7" s="59">
        <v>1279</v>
      </c>
      <c r="L7" s="59">
        <v>162</v>
      </c>
      <c r="M7" s="16"/>
      <c r="N7" s="16"/>
      <c r="O7" s="16"/>
      <c r="P7" s="16"/>
    </row>
    <row r="8" spans="1:16" ht="17.45" customHeight="1">
      <c r="A8" s="160" t="s">
        <v>53</v>
      </c>
      <c r="B8" s="73">
        <f>37600+3758</f>
        <v>41358</v>
      </c>
      <c r="C8" s="73">
        <f>37600+1028</f>
        <v>38628</v>
      </c>
      <c r="D8" s="73">
        <f>37600+4015</f>
        <v>41615</v>
      </c>
      <c r="E8" s="73">
        <f>29874+3174</f>
        <v>33048</v>
      </c>
      <c r="F8" s="73">
        <f>13865+2765</f>
        <v>16630</v>
      </c>
      <c r="G8" s="73">
        <f>25336+3350+2424</f>
        <v>31110</v>
      </c>
      <c r="H8" s="73">
        <f>33622+2402</f>
        <v>36024</v>
      </c>
      <c r="I8" s="73">
        <f>26432+1794</f>
        <v>28226</v>
      </c>
      <c r="J8" s="73">
        <f>2585+1384</f>
        <v>3969</v>
      </c>
      <c r="K8" s="73">
        <v>1308</v>
      </c>
      <c r="L8" s="73">
        <v>631</v>
      </c>
    </row>
    <row r="9" spans="1:16" ht="17.45" customHeight="1">
      <c r="A9" s="160" t="s">
        <v>44</v>
      </c>
      <c r="B9" s="73">
        <v>16879</v>
      </c>
      <c r="C9" s="73">
        <v>16879</v>
      </c>
      <c r="D9" s="73">
        <v>16879</v>
      </c>
      <c r="E9" s="73">
        <v>12698</v>
      </c>
      <c r="F9" s="73">
        <v>22570</v>
      </c>
      <c r="G9" s="73">
        <v>13263</v>
      </c>
      <c r="H9" s="73">
        <v>19065</v>
      </c>
      <c r="I9" s="73">
        <v>12203</v>
      </c>
      <c r="J9" s="73">
        <v>1347</v>
      </c>
      <c r="K9" s="73">
        <v>213</v>
      </c>
      <c r="L9" s="73">
        <v>27</v>
      </c>
    </row>
    <row r="10" spans="1:16" ht="17.45" customHeight="1">
      <c r="A10" s="160" t="s">
        <v>80</v>
      </c>
      <c r="B10" s="73">
        <v>30698</v>
      </c>
      <c r="C10" s="73">
        <v>29687</v>
      </c>
      <c r="D10" s="73">
        <v>29687</v>
      </c>
      <c r="E10" s="73">
        <v>23771</v>
      </c>
      <c r="F10" s="73">
        <v>40080</v>
      </c>
      <c r="G10" s="73">
        <v>20897</v>
      </c>
      <c r="H10" s="73">
        <v>21589</v>
      </c>
      <c r="I10" s="73">
        <v>17478</v>
      </c>
      <c r="J10" s="73">
        <v>4368</v>
      </c>
      <c r="K10" s="73">
        <v>1206</v>
      </c>
      <c r="L10" s="73">
        <v>579</v>
      </c>
    </row>
    <row r="11" spans="1:16" ht="17.45" customHeight="1">
      <c r="A11" s="160" t="s">
        <v>17</v>
      </c>
      <c r="B11" s="73">
        <v>55068</v>
      </c>
      <c r="C11" s="73">
        <v>49875</v>
      </c>
      <c r="D11" s="73">
        <v>49875</v>
      </c>
      <c r="E11" s="73">
        <v>40849</v>
      </c>
      <c r="F11" s="73">
        <v>12952</v>
      </c>
      <c r="G11" s="73">
        <v>35347</v>
      </c>
      <c r="H11" s="73">
        <v>36987</v>
      </c>
      <c r="I11" s="73">
        <v>29666</v>
      </c>
      <c r="J11" s="73">
        <v>10285</v>
      </c>
      <c r="K11" s="73">
        <v>3206</v>
      </c>
      <c r="L11" s="73">
        <v>1071</v>
      </c>
    </row>
    <row r="12" spans="1:16" ht="17.45" customHeight="1">
      <c r="A12" s="160" t="s">
        <v>93</v>
      </c>
      <c r="B12" s="73">
        <v>17598</v>
      </c>
      <c r="C12" s="73">
        <v>16987</v>
      </c>
      <c r="D12" s="73">
        <v>16987</v>
      </c>
      <c r="E12" s="73">
        <v>13464</v>
      </c>
      <c r="F12" s="73">
        <v>32470</v>
      </c>
      <c r="G12" s="73">
        <v>12438</v>
      </c>
      <c r="H12" s="73">
        <v>9584</v>
      </c>
      <c r="I12" s="73">
        <v>7470</v>
      </c>
      <c r="J12" s="73">
        <v>2671</v>
      </c>
      <c r="K12" s="73">
        <v>582</v>
      </c>
      <c r="L12" s="73">
        <v>24</v>
      </c>
    </row>
    <row r="13" spans="1:16" ht="17.45" customHeight="1">
      <c r="A13" s="160" t="s">
        <v>57</v>
      </c>
      <c r="B13" s="73">
        <f>51698+1887</f>
        <v>53585</v>
      </c>
      <c r="C13" s="73">
        <f>49863+378</f>
        <v>50241</v>
      </c>
      <c r="D13" s="73">
        <f>49863+1383</f>
        <v>51246</v>
      </c>
      <c r="E13" s="73">
        <f>33301+1032</f>
        <v>34333</v>
      </c>
      <c r="F13" s="73">
        <f>33015+868</f>
        <v>33883</v>
      </c>
      <c r="G13" s="73">
        <f>31229+1540+468</f>
        <v>33237</v>
      </c>
      <c r="H13" s="73">
        <f>33693+849</f>
        <v>34542</v>
      </c>
      <c r="I13" s="73">
        <f>26853+452</f>
        <v>27305</v>
      </c>
      <c r="J13" s="73">
        <f>3434+127</f>
        <v>3561</v>
      </c>
      <c r="K13" s="73">
        <f>813+9</f>
        <v>822</v>
      </c>
      <c r="L13" s="73">
        <f>392+4</f>
        <v>396</v>
      </c>
    </row>
    <row r="14" spans="1:16" ht="17.45" customHeight="1">
      <c r="A14" s="162" t="s">
        <v>153</v>
      </c>
      <c r="B14" s="73">
        <v>39658</v>
      </c>
      <c r="C14" s="73">
        <v>39580</v>
      </c>
      <c r="D14" s="73">
        <v>39580</v>
      </c>
      <c r="E14" s="73">
        <v>35825</v>
      </c>
      <c r="F14" s="73">
        <v>19094</v>
      </c>
      <c r="G14" s="73">
        <v>30993</v>
      </c>
      <c r="H14" s="73">
        <v>35781</v>
      </c>
      <c r="I14" s="73">
        <v>28657</v>
      </c>
      <c r="J14" s="73">
        <v>9652</v>
      </c>
      <c r="K14" s="73">
        <v>3853</v>
      </c>
      <c r="L14" s="73">
        <v>1537</v>
      </c>
    </row>
    <row r="15" spans="1:16" ht="17.45" customHeight="1">
      <c r="A15" s="162" t="s">
        <v>154</v>
      </c>
      <c r="B15" s="73">
        <v>34561</v>
      </c>
      <c r="C15" s="73">
        <v>32598</v>
      </c>
      <c r="D15" s="73">
        <v>32598</v>
      </c>
      <c r="E15" s="73">
        <v>20113</v>
      </c>
      <c r="F15" s="73">
        <v>12608</v>
      </c>
      <c r="G15" s="73">
        <v>16534</v>
      </c>
      <c r="H15" s="73">
        <v>21445</v>
      </c>
      <c r="I15" s="73">
        <v>14303</v>
      </c>
      <c r="J15" s="73">
        <v>1757</v>
      </c>
      <c r="K15" s="73">
        <v>164</v>
      </c>
      <c r="L15" s="73">
        <v>49</v>
      </c>
    </row>
    <row r="16" spans="1:16" ht="17.45" customHeight="1">
      <c r="A16" s="160" t="s">
        <v>28</v>
      </c>
      <c r="B16" s="73">
        <v>18977</v>
      </c>
      <c r="C16" s="73">
        <v>17896</v>
      </c>
      <c r="D16" s="73">
        <v>17896</v>
      </c>
      <c r="E16" s="73">
        <v>13613</v>
      </c>
      <c r="F16" s="73">
        <v>31326</v>
      </c>
      <c r="G16" s="73">
        <v>12020</v>
      </c>
      <c r="H16" s="73">
        <v>20698</v>
      </c>
      <c r="I16" s="73">
        <v>9799</v>
      </c>
      <c r="J16" s="73">
        <v>1851</v>
      </c>
      <c r="K16" s="73">
        <v>349</v>
      </c>
      <c r="L16" s="73">
        <v>167</v>
      </c>
    </row>
    <row r="17" spans="1:16" ht="17.45" customHeight="1">
      <c r="A17" s="160" t="s">
        <v>36</v>
      </c>
      <c r="B17" s="73">
        <v>39875</v>
      </c>
      <c r="C17" s="73">
        <v>35961</v>
      </c>
      <c r="D17" s="73">
        <v>35961</v>
      </c>
      <c r="E17" s="73">
        <v>31792</v>
      </c>
      <c r="F17" s="73">
        <v>17638</v>
      </c>
      <c r="G17" s="73">
        <v>30286</v>
      </c>
      <c r="H17" s="73">
        <v>27555</v>
      </c>
      <c r="I17" s="73">
        <v>23994</v>
      </c>
      <c r="J17" s="73">
        <v>6937</v>
      </c>
      <c r="K17" s="73">
        <v>1849</v>
      </c>
      <c r="L17" s="73">
        <v>1205</v>
      </c>
    </row>
    <row r="18" spans="1:16" ht="17.45" customHeight="1">
      <c r="A18" s="160" t="s">
        <v>30</v>
      </c>
      <c r="B18" s="73">
        <v>21689</v>
      </c>
      <c r="C18" s="73">
        <v>21987</v>
      </c>
      <c r="D18" s="73">
        <v>21987</v>
      </c>
      <c r="E18" s="73">
        <v>18372</v>
      </c>
      <c r="F18" s="73">
        <v>21699</v>
      </c>
      <c r="G18" s="73">
        <v>17176</v>
      </c>
      <c r="H18" s="73">
        <v>28710</v>
      </c>
      <c r="I18" s="73">
        <v>20626</v>
      </c>
      <c r="J18" s="73">
        <v>6302</v>
      </c>
      <c r="K18" s="73">
        <v>1698</v>
      </c>
      <c r="L18" s="73">
        <v>565</v>
      </c>
    </row>
    <row r="19" spans="1:16" ht="17.45" customHeight="1">
      <c r="A19" s="161" t="s">
        <v>179</v>
      </c>
      <c r="B19" s="59">
        <v>31082</v>
      </c>
      <c r="C19" s="59">
        <v>27086</v>
      </c>
      <c r="D19" s="59">
        <v>27210</v>
      </c>
      <c r="E19" s="59">
        <v>23217</v>
      </c>
      <c r="F19" s="59">
        <v>20410</v>
      </c>
      <c r="G19" s="59">
        <v>30609</v>
      </c>
      <c r="H19" s="59">
        <v>21107</v>
      </c>
      <c r="I19" s="59">
        <v>15159</v>
      </c>
      <c r="J19" s="59">
        <v>2612</v>
      </c>
      <c r="K19" s="59">
        <v>567</v>
      </c>
      <c r="L19" s="59">
        <v>187</v>
      </c>
      <c r="M19" s="19"/>
      <c r="N19" s="19"/>
      <c r="O19" s="19"/>
    </row>
    <row r="20" spans="1:16" ht="17.45" customHeight="1">
      <c r="A20" s="160" t="s">
        <v>26</v>
      </c>
      <c r="B20" s="73">
        <f>30009+3046</f>
        <v>33055</v>
      </c>
      <c r="C20" s="73">
        <f>26587+2956</f>
        <v>29543</v>
      </c>
      <c r="D20" s="73">
        <f>26587+2801</f>
        <v>29388</v>
      </c>
      <c r="E20" s="73">
        <f>23397+2530</f>
        <v>25927</v>
      </c>
      <c r="F20" s="73">
        <f>12228+2466</f>
        <v>14694</v>
      </c>
      <c r="G20" s="73">
        <f>20378+2481+1369</f>
        <v>24228</v>
      </c>
      <c r="H20" s="73">
        <f>25298+2653</f>
        <v>27951</v>
      </c>
      <c r="I20" s="73">
        <f>21022+2015</f>
        <v>23037</v>
      </c>
      <c r="J20" s="73">
        <f>7671+339</f>
        <v>8010</v>
      </c>
      <c r="K20" s="73">
        <f>1283+42</f>
        <v>1325</v>
      </c>
      <c r="L20" s="73">
        <f>378+7</f>
        <v>385</v>
      </c>
    </row>
    <row r="21" spans="1:16" ht="17.45" customHeight="1">
      <c r="A21" s="160" t="s">
        <v>92</v>
      </c>
      <c r="B21" s="73">
        <v>19876</v>
      </c>
      <c r="C21" s="73">
        <v>15987</v>
      </c>
      <c r="D21" s="73">
        <v>15987</v>
      </c>
      <c r="E21" s="73">
        <v>13352</v>
      </c>
      <c r="F21" s="73">
        <v>14149</v>
      </c>
      <c r="G21" s="73">
        <v>10622</v>
      </c>
      <c r="H21" s="73">
        <v>12146</v>
      </c>
      <c r="I21" s="73">
        <v>7987</v>
      </c>
      <c r="J21" s="73">
        <v>2446</v>
      </c>
      <c r="K21" s="73">
        <v>45</v>
      </c>
      <c r="L21" s="73" t="s">
        <v>247</v>
      </c>
    </row>
    <row r="22" spans="1:16" ht="17.45" customHeight="1">
      <c r="A22" s="161" t="s">
        <v>180</v>
      </c>
      <c r="B22" s="59">
        <v>17813</v>
      </c>
      <c r="C22" s="59">
        <v>13021</v>
      </c>
      <c r="D22" s="59">
        <v>17490</v>
      </c>
      <c r="E22" s="59">
        <v>15333</v>
      </c>
      <c r="F22" s="59">
        <v>14175</v>
      </c>
      <c r="G22" s="59">
        <v>22246</v>
      </c>
      <c r="H22" s="59">
        <v>16433</v>
      </c>
      <c r="I22" s="59">
        <v>13945</v>
      </c>
      <c r="J22" s="59">
        <v>5997</v>
      </c>
      <c r="K22" s="59">
        <v>1941</v>
      </c>
      <c r="L22" s="59">
        <v>531</v>
      </c>
      <c r="M22" s="16"/>
      <c r="N22" s="16"/>
      <c r="O22" s="16"/>
      <c r="P22" s="16"/>
    </row>
    <row r="23" spans="1:16" ht="17.45" customHeight="1">
      <c r="A23" s="160" t="s">
        <v>55</v>
      </c>
      <c r="B23" s="73">
        <f>31987+1138</f>
        <v>33125</v>
      </c>
      <c r="C23" s="73">
        <f>30015+292</f>
        <v>30307</v>
      </c>
      <c r="D23" s="73">
        <f>30015+1454</f>
        <v>31469</v>
      </c>
      <c r="E23" s="73">
        <f>25987+1197</f>
        <v>27184</v>
      </c>
      <c r="F23" s="73">
        <f>21997+1007</f>
        <v>23004</v>
      </c>
      <c r="G23" s="73">
        <f>14100+1456+1055</f>
        <v>16611</v>
      </c>
      <c r="H23" s="73">
        <f>18093+1323</f>
        <v>19416</v>
      </c>
      <c r="I23" s="73">
        <f>10392+944</f>
        <v>11336</v>
      </c>
      <c r="J23" s="73">
        <f>2103+34</f>
        <v>2137</v>
      </c>
      <c r="K23" s="73">
        <f>194</f>
        <v>194</v>
      </c>
      <c r="L23" s="73">
        <f>73</f>
        <v>73</v>
      </c>
    </row>
    <row r="24" spans="1:16" ht="17.45" customHeight="1">
      <c r="A24" s="160" t="s">
        <v>95</v>
      </c>
      <c r="B24" s="73">
        <v>29875</v>
      </c>
      <c r="C24" s="73">
        <v>26987</v>
      </c>
      <c r="D24" s="73">
        <v>26987</v>
      </c>
      <c r="E24" s="73">
        <v>21930</v>
      </c>
      <c r="F24" s="73">
        <v>46067</v>
      </c>
      <c r="G24" s="73">
        <v>20959</v>
      </c>
      <c r="H24" s="73">
        <v>26980</v>
      </c>
      <c r="I24" s="73">
        <v>22335</v>
      </c>
      <c r="J24" s="73">
        <v>5146</v>
      </c>
      <c r="K24" s="73">
        <v>1242</v>
      </c>
      <c r="L24" s="73">
        <v>614</v>
      </c>
    </row>
    <row r="25" spans="1:16" ht="17.45" customHeight="1">
      <c r="A25" s="160" t="s">
        <v>39</v>
      </c>
      <c r="B25" s="73">
        <v>55987</v>
      </c>
      <c r="C25" s="73">
        <v>51987</v>
      </c>
      <c r="D25" s="73">
        <v>51987</v>
      </c>
      <c r="E25" s="73">
        <v>46785</v>
      </c>
      <c r="F25" s="73">
        <v>55681</v>
      </c>
      <c r="G25" s="73">
        <v>41321</v>
      </c>
      <c r="H25" s="73">
        <v>39938</v>
      </c>
      <c r="I25" s="73">
        <v>33316</v>
      </c>
      <c r="J25" s="73">
        <v>4167</v>
      </c>
      <c r="K25" s="73">
        <v>1147</v>
      </c>
      <c r="L25" s="73">
        <v>461</v>
      </c>
    </row>
    <row r="26" spans="1:16" ht="17.45" customHeight="1">
      <c r="A26" s="160" t="s">
        <v>20</v>
      </c>
      <c r="B26" s="73">
        <v>85963</v>
      </c>
      <c r="C26" s="73">
        <v>81658</v>
      </c>
      <c r="D26" s="73">
        <v>81658</v>
      </c>
      <c r="E26" s="73">
        <v>75984</v>
      </c>
      <c r="F26" s="73">
        <v>38723</v>
      </c>
      <c r="G26" s="73">
        <v>49985</v>
      </c>
      <c r="H26" s="73">
        <v>54206</v>
      </c>
      <c r="I26" s="73">
        <v>41326</v>
      </c>
      <c r="J26" s="73">
        <v>5228</v>
      </c>
      <c r="K26" s="73">
        <v>688</v>
      </c>
      <c r="L26" s="73">
        <v>195</v>
      </c>
    </row>
    <row r="27" spans="1:16" ht="17.45" customHeight="1">
      <c r="A27" s="161" t="s">
        <v>181</v>
      </c>
      <c r="B27" s="59">
        <v>13449</v>
      </c>
      <c r="C27" s="59">
        <v>9008</v>
      </c>
      <c r="D27" s="59">
        <v>13261</v>
      </c>
      <c r="E27" s="59">
        <v>10780</v>
      </c>
      <c r="F27" s="59">
        <v>9196</v>
      </c>
      <c r="G27" s="59">
        <v>12625</v>
      </c>
      <c r="H27" s="59">
        <v>9560</v>
      </c>
      <c r="I27" s="59">
        <v>7201</v>
      </c>
      <c r="J27" s="59">
        <v>1343</v>
      </c>
      <c r="K27" s="59" t="s">
        <v>247</v>
      </c>
      <c r="L27" s="59" t="s">
        <v>247</v>
      </c>
      <c r="M27" s="19"/>
      <c r="N27" s="19"/>
      <c r="O27" s="19"/>
    </row>
    <row r="28" spans="1:16" ht="17.45" customHeight="1">
      <c r="A28" s="161" t="s">
        <v>183</v>
      </c>
      <c r="B28" s="59">
        <v>13222</v>
      </c>
      <c r="C28" s="59">
        <v>13206</v>
      </c>
      <c r="D28" s="59">
        <v>11516</v>
      </c>
      <c r="E28" s="59">
        <v>10433</v>
      </c>
      <c r="F28" s="59">
        <v>9306</v>
      </c>
      <c r="G28" s="59">
        <v>14557</v>
      </c>
      <c r="H28" s="59">
        <v>9603</v>
      </c>
      <c r="I28" s="59">
        <v>6664</v>
      </c>
      <c r="J28" s="59">
        <v>2753</v>
      </c>
      <c r="K28" s="59">
        <v>1016</v>
      </c>
      <c r="L28" s="59">
        <v>348</v>
      </c>
      <c r="M28" s="19"/>
      <c r="N28" s="19"/>
      <c r="O28" s="19"/>
    </row>
    <row r="29" spans="1:16" ht="17.45" customHeight="1">
      <c r="A29" s="160" t="s">
        <v>15</v>
      </c>
      <c r="B29" s="73">
        <v>45982</v>
      </c>
      <c r="C29" s="73">
        <v>44850</v>
      </c>
      <c r="D29" s="73">
        <v>44850</v>
      </c>
      <c r="E29" s="73">
        <v>40290</v>
      </c>
      <c r="F29" s="73">
        <v>89620</v>
      </c>
      <c r="G29" s="73">
        <v>36171</v>
      </c>
      <c r="H29" s="73">
        <v>26791</v>
      </c>
      <c r="I29" s="73">
        <v>19718</v>
      </c>
      <c r="J29" s="73">
        <v>7389</v>
      </c>
      <c r="K29" s="73">
        <v>3056</v>
      </c>
      <c r="L29" s="73">
        <v>1355</v>
      </c>
    </row>
    <row r="30" spans="1:16" ht="17.45" customHeight="1">
      <c r="A30" s="161" t="s">
        <v>182</v>
      </c>
      <c r="B30" s="59">
        <v>5714</v>
      </c>
      <c r="C30" s="59">
        <v>1277</v>
      </c>
      <c r="D30" s="59">
        <v>6225</v>
      </c>
      <c r="E30" s="59">
        <v>5692</v>
      </c>
      <c r="F30" s="59">
        <v>5062</v>
      </c>
      <c r="G30" s="59">
        <v>7497</v>
      </c>
      <c r="H30" s="59">
        <v>5650</v>
      </c>
      <c r="I30" s="59">
        <v>4400</v>
      </c>
      <c r="J30" s="59">
        <v>1456</v>
      </c>
      <c r="K30" s="59">
        <v>552</v>
      </c>
      <c r="L30" s="59">
        <v>267</v>
      </c>
      <c r="M30" s="19"/>
      <c r="N30" s="19"/>
      <c r="O30" s="19"/>
    </row>
    <row r="31" spans="1:16" s="16" customFormat="1" ht="17.45" customHeight="1">
      <c r="A31" s="160" t="s">
        <v>13</v>
      </c>
      <c r="B31" s="73">
        <f>119569+1802</f>
        <v>121371</v>
      </c>
      <c r="C31" s="73">
        <f>110698+1604</f>
        <v>112302</v>
      </c>
      <c r="D31" s="73">
        <f>110698+1994</f>
        <v>112692</v>
      </c>
      <c r="E31" s="73">
        <f>105987+1833</f>
        <v>107820</v>
      </c>
      <c r="F31" s="73">
        <f>19289+1796</f>
        <v>21085</v>
      </c>
      <c r="G31" s="73">
        <f>79953+1497+1032</f>
        <v>82482</v>
      </c>
      <c r="H31" s="73">
        <f>74598+1119</f>
        <v>75717</v>
      </c>
      <c r="I31" s="73">
        <f>57502+939</f>
        <v>58441</v>
      </c>
      <c r="J31" s="73">
        <f>17391+237</f>
        <v>17628</v>
      </c>
      <c r="K31" s="73">
        <f>6021+33</f>
        <v>6054</v>
      </c>
      <c r="L31" s="73">
        <f>3338+11</f>
        <v>3349</v>
      </c>
      <c r="M31" s="41"/>
      <c r="N31" s="41"/>
      <c r="O31" s="41"/>
      <c r="P31" s="41"/>
    </row>
    <row r="32" spans="1:16" s="19" customFormat="1" ht="17.45" customHeight="1">
      <c r="A32" s="161" t="s">
        <v>184</v>
      </c>
      <c r="B32" s="59">
        <v>5881</v>
      </c>
      <c r="C32" s="59">
        <v>2098</v>
      </c>
      <c r="D32" s="59">
        <v>8842</v>
      </c>
      <c r="E32" s="59">
        <v>4956</v>
      </c>
      <c r="F32" s="59">
        <v>4045</v>
      </c>
      <c r="G32" s="59">
        <v>8600</v>
      </c>
      <c r="H32" s="59">
        <v>4242</v>
      </c>
      <c r="I32" s="59">
        <v>1972</v>
      </c>
      <c r="J32" s="59">
        <v>606</v>
      </c>
      <c r="K32" s="59">
        <v>114</v>
      </c>
      <c r="L32" s="59">
        <v>48</v>
      </c>
      <c r="P32" s="41"/>
    </row>
    <row r="33" spans="1:16" s="16" customFormat="1" ht="17.45" customHeight="1">
      <c r="A33" s="160" t="s">
        <v>94</v>
      </c>
      <c r="B33" s="73">
        <v>24348</v>
      </c>
      <c r="C33" s="73">
        <v>15254</v>
      </c>
      <c r="D33" s="73">
        <v>15254</v>
      </c>
      <c r="E33" s="73">
        <v>14987</v>
      </c>
      <c r="F33" s="73">
        <v>39651</v>
      </c>
      <c r="G33" s="73">
        <v>19008</v>
      </c>
      <c r="H33" s="73">
        <v>35025</v>
      </c>
      <c r="I33" s="73">
        <v>26172</v>
      </c>
      <c r="J33" s="73">
        <v>7362</v>
      </c>
      <c r="K33" s="73">
        <v>2546</v>
      </c>
      <c r="L33" s="73">
        <v>1013</v>
      </c>
      <c r="M33" s="41"/>
      <c r="N33" s="41"/>
      <c r="O33" s="41"/>
      <c r="P33" s="41"/>
    </row>
    <row r="34" spans="1:16" s="19" customFormat="1" ht="17.45" customHeight="1">
      <c r="A34" s="160" t="s">
        <v>23</v>
      </c>
      <c r="B34" s="73">
        <v>58901</v>
      </c>
      <c r="C34" s="73">
        <v>55910</v>
      </c>
      <c r="D34" s="73">
        <v>55910</v>
      </c>
      <c r="E34" s="73">
        <v>40716</v>
      </c>
      <c r="F34" s="73">
        <v>59657</v>
      </c>
      <c r="G34" s="73">
        <v>37926</v>
      </c>
      <c r="H34" s="73">
        <v>30322</v>
      </c>
      <c r="I34" s="73">
        <v>16842</v>
      </c>
      <c r="J34" s="73">
        <v>3856</v>
      </c>
      <c r="K34" s="73">
        <v>747</v>
      </c>
      <c r="L34" s="73">
        <v>149</v>
      </c>
      <c r="M34" s="41"/>
      <c r="N34" s="41"/>
      <c r="O34" s="41"/>
      <c r="P34" s="41"/>
    </row>
    <row r="35" spans="1:16" s="19" customFormat="1" ht="17.45" customHeight="1">
      <c r="A35" s="160" t="s">
        <v>71</v>
      </c>
      <c r="B35" s="73">
        <v>78961</v>
      </c>
      <c r="C35" s="73">
        <v>66987</v>
      </c>
      <c r="D35" s="73">
        <v>66987</v>
      </c>
      <c r="E35" s="73">
        <v>63219</v>
      </c>
      <c r="F35" s="73">
        <v>4934</v>
      </c>
      <c r="G35" s="73">
        <v>54965</v>
      </c>
      <c r="H35" s="73">
        <v>62636</v>
      </c>
      <c r="I35" s="73">
        <v>48821</v>
      </c>
      <c r="J35" s="73">
        <v>7458</v>
      </c>
      <c r="K35" s="73">
        <v>1548</v>
      </c>
      <c r="L35" s="73">
        <v>830</v>
      </c>
      <c r="M35" s="41"/>
      <c r="N35" s="41"/>
      <c r="O35" s="41"/>
      <c r="P35" s="41"/>
    </row>
    <row r="36" spans="1:16" s="19" customFormat="1" ht="17.45" customHeight="1">
      <c r="A36" s="160" t="s">
        <v>51</v>
      </c>
      <c r="B36" s="73">
        <f>11369+2271</f>
        <v>13640</v>
      </c>
      <c r="C36" s="73">
        <f>9687+463</f>
        <v>10150</v>
      </c>
      <c r="D36" s="73">
        <f>9687+2190</f>
        <v>11877</v>
      </c>
      <c r="E36" s="73">
        <f>6496+2081</f>
        <v>8577</v>
      </c>
      <c r="F36" s="73">
        <f>2093+1979</f>
        <v>4072</v>
      </c>
      <c r="G36" s="73">
        <f>5698+1947+1156</f>
        <v>8801</v>
      </c>
      <c r="H36" s="73">
        <f>8560+2026</f>
        <v>10586</v>
      </c>
      <c r="I36" s="73">
        <f>5568+1649</f>
        <v>7217</v>
      </c>
      <c r="J36" s="73">
        <f>2138+446</f>
        <v>2584</v>
      </c>
      <c r="K36" s="73">
        <f>278+38</f>
        <v>316</v>
      </c>
      <c r="L36" s="73">
        <f>94+12</f>
        <v>106</v>
      </c>
      <c r="M36" s="41"/>
      <c r="N36" s="41"/>
      <c r="O36" s="41"/>
      <c r="P36" s="41"/>
    </row>
    <row r="37" spans="1:16" s="19" customFormat="1" ht="17.45" customHeight="1">
      <c r="A37" s="163" t="s">
        <v>147</v>
      </c>
      <c r="B37" s="164">
        <v>5961</v>
      </c>
      <c r="C37" s="164">
        <v>3341</v>
      </c>
      <c r="D37" s="164">
        <v>3341</v>
      </c>
      <c r="E37" s="164">
        <v>2294</v>
      </c>
      <c r="F37" s="164">
        <v>365</v>
      </c>
      <c r="G37" s="164">
        <v>2186</v>
      </c>
      <c r="H37" s="164">
        <v>2589</v>
      </c>
      <c r="I37" s="164">
        <v>714</v>
      </c>
      <c r="J37" s="164">
        <v>83</v>
      </c>
      <c r="K37" s="164">
        <v>28</v>
      </c>
      <c r="L37" s="164">
        <v>5</v>
      </c>
      <c r="M37" s="41"/>
      <c r="N37" s="41"/>
      <c r="O37" s="41"/>
      <c r="P37" s="41"/>
    </row>
    <row r="38" spans="1:16" ht="13.15" customHeight="1">
      <c r="A38" s="165"/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42" t="s">
        <v>123</v>
      </c>
    </row>
    <row r="39" spans="1:16" ht="60" customHeight="1">
      <c r="A39" s="280" t="s">
        <v>195</v>
      </c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</row>
    <row r="40" spans="1:16" s="27" customFormat="1" ht="13.15" customHeight="1">
      <c r="A40" s="27" t="s">
        <v>265</v>
      </c>
      <c r="E40" s="158" t="s">
        <v>193</v>
      </c>
      <c r="F40" s="158"/>
      <c r="G40" s="158"/>
      <c r="K40" s="284" t="s">
        <v>89</v>
      </c>
      <c r="L40" s="284"/>
    </row>
    <row r="41" spans="1:16" ht="20.100000000000001" customHeight="1">
      <c r="A41" s="290" t="s">
        <v>91</v>
      </c>
      <c r="B41" s="290" t="s">
        <v>115</v>
      </c>
      <c r="C41" s="290" t="s">
        <v>109</v>
      </c>
      <c r="D41" s="291" t="s">
        <v>116</v>
      </c>
      <c r="E41" s="291"/>
      <c r="F41" s="292"/>
      <c r="G41" s="290" t="s">
        <v>124</v>
      </c>
      <c r="H41" s="290" t="s">
        <v>117</v>
      </c>
      <c r="I41" s="290"/>
      <c r="J41" s="290"/>
      <c r="K41" s="290"/>
      <c r="L41" s="290"/>
    </row>
    <row r="42" spans="1:16" ht="20.100000000000001" customHeight="1">
      <c r="A42" s="290"/>
      <c r="B42" s="290"/>
      <c r="C42" s="290"/>
      <c r="D42" s="175">
        <v>1</v>
      </c>
      <c r="E42" s="176">
        <v>2</v>
      </c>
      <c r="F42" s="176">
        <v>3</v>
      </c>
      <c r="G42" s="290"/>
      <c r="H42" s="176" t="s">
        <v>118</v>
      </c>
      <c r="I42" s="176" t="s">
        <v>119</v>
      </c>
      <c r="J42" s="176" t="s">
        <v>120</v>
      </c>
      <c r="K42" s="176" t="s">
        <v>121</v>
      </c>
      <c r="L42" s="176" t="s">
        <v>122</v>
      </c>
    </row>
    <row r="43" spans="1:16" ht="25.5">
      <c r="A43" s="153" t="s">
        <v>197</v>
      </c>
      <c r="B43" s="151">
        <f>SUM(B44:B75)</f>
        <v>1135450</v>
      </c>
      <c r="C43" s="151">
        <f t="shared" ref="C43:L43" si="1">SUM(C44:C75)</f>
        <v>962483</v>
      </c>
      <c r="D43" s="151">
        <f t="shared" si="1"/>
        <v>1131759</v>
      </c>
      <c r="E43" s="151">
        <f t="shared" si="1"/>
        <v>1032855</v>
      </c>
      <c r="F43" s="151">
        <f t="shared" si="1"/>
        <v>995302</v>
      </c>
      <c r="G43" s="151">
        <f t="shared" si="1"/>
        <v>630505</v>
      </c>
      <c r="H43" s="151">
        <f t="shared" si="1"/>
        <v>787227</v>
      </c>
      <c r="I43" s="151">
        <f t="shared" si="1"/>
        <v>626012</v>
      </c>
      <c r="J43" s="151">
        <f t="shared" si="1"/>
        <v>73002</v>
      </c>
      <c r="K43" s="151">
        <f t="shared" si="1"/>
        <v>19532</v>
      </c>
      <c r="L43" s="151">
        <f t="shared" si="1"/>
        <v>10700</v>
      </c>
    </row>
    <row r="44" spans="1:16" ht="17.45" customHeight="1">
      <c r="A44" s="22" t="s">
        <v>34</v>
      </c>
      <c r="B44" s="168">
        <v>46561</v>
      </c>
      <c r="C44" s="168">
        <v>44351</v>
      </c>
      <c r="D44" s="168">
        <v>43900</v>
      </c>
      <c r="E44" s="168">
        <v>42145</v>
      </c>
      <c r="F44" s="168">
        <v>41535</v>
      </c>
      <c r="G44" s="168">
        <v>20347</v>
      </c>
      <c r="H44" s="168">
        <v>36734</v>
      </c>
      <c r="I44" s="168">
        <v>32361</v>
      </c>
      <c r="J44" s="168">
        <v>7</v>
      </c>
      <c r="K44" s="168" t="s">
        <v>247</v>
      </c>
      <c r="L44" s="168">
        <v>1</v>
      </c>
    </row>
    <row r="45" spans="1:16" ht="17.45" customHeight="1">
      <c r="A45" s="161" t="s">
        <v>178</v>
      </c>
      <c r="B45" s="59">
        <v>42270</v>
      </c>
      <c r="C45" s="59">
        <v>29245</v>
      </c>
      <c r="D45" s="59">
        <v>43928</v>
      </c>
      <c r="E45" s="59">
        <v>38155</v>
      </c>
      <c r="F45" s="59">
        <v>37434</v>
      </c>
      <c r="G45" s="59">
        <v>59698</v>
      </c>
      <c r="H45" s="59">
        <v>27870</v>
      </c>
      <c r="I45" s="59">
        <v>20874</v>
      </c>
      <c r="J45" s="59">
        <v>6261</v>
      </c>
      <c r="K45" s="59">
        <v>1299</v>
      </c>
      <c r="L45" s="59">
        <v>179</v>
      </c>
      <c r="M45" s="16"/>
      <c r="N45" s="16"/>
      <c r="O45" s="16"/>
      <c r="P45" s="16"/>
    </row>
    <row r="46" spans="1:16" ht="17.45" customHeight="1">
      <c r="A46" s="22" t="s">
        <v>53</v>
      </c>
      <c r="B46" s="168">
        <v>37688</v>
      </c>
      <c r="C46" s="168">
        <v>13038</v>
      </c>
      <c r="D46" s="168">
        <v>38669</v>
      </c>
      <c r="E46" s="168">
        <v>33186</v>
      </c>
      <c r="F46" s="168">
        <v>32313</v>
      </c>
      <c r="G46" s="168">
        <v>21263</v>
      </c>
      <c r="H46" s="168">
        <v>26962</v>
      </c>
      <c r="I46" s="168">
        <v>18927</v>
      </c>
      <c r="J46" s="168">
        <v>2170</v>
      </c>
      <c r="K46" s="168">
        <v>898</v>
      </c>
      <c r="L46" s="168">
        <v>388</v>
      </c>
    </row>
    <row r="47" spans="1:16" ht="17.45" customHeight="1">
      <c r="A47" s="22" t="s">
        <v>44</v>
      </c>
      <c r="B47" s="168">
        <v>16609</v>
      </c>
      <c r="C47" s="168">
        <v>9649</v>
      </c>
      <c r="D47" s="168">
        <v>16616</v>
      </c>
      <c r="E47" s="168">
        <v>15678</v>
      </c>
      <c r="F47" s="168">
        <v>15511</v>
      </c>
      <c r="G47" s="168">
        <v>7905</v>
      </c>
      <c r="H47" s="168">
        <v>12931</v>
      </c>
      <c r="I47" s="168">
        <v>8666</v>
      </c>
      <c r="J47" s="168">
        <v>7</v>
      </c>
      <c r="K47" s="168" t="s">
        <v>247</v>
      </c>
      <c r="L47" s="168">
        <v>3</v>
      </c>
    </row>
    <row r="48" spans="1:16" ht="17.45" customHeight="1">
      <c r="A48" s="22" t="s">
        <v>80</v>
      </c>
      <c r="B48" s="168">
        <v>30641</v>
      </c>
      <c r="C48" s="168">
        <v>27073</v>
      </c>
      <c r="D48" s="168">
        <v>30829</v>
      </c>
      <c r="E48" s="168">
        <v>28734</v>
      </c>
      <c r="F48" s="168">
        <v>29097</v>
      </c>
      <c r="G48" s="168">
        <v>15064</v>
      </c>
      <c r="H48" s="168">
        <v>23139</v>
      </c>
      <c r="I48" s="168">
        <v>20411</v>
      </c>
      <c r="J48" s="168">
        <v>1819</v>
      </c>
      <c r="K48" s="168">
        <v>720</v>
      </c>
      <c r="L48" s="168">
        <v>417</v>
      </c>
    </row>
    <row r="49" spans="1:16" ht="17.45" customHeight="1">
      <c r="A49" s="22" t="s">
        <v>17</v>
      </c>
      <c r="B49" s="168">
        <v>54795</v>
      </c>
      <c r="C49" s="168">
        <v>54828</v>
      </c>
      <c r="D49" s="168">
        <v>51955</v>
      </c>
      <c r="E49" s="168">
        <v>47296</v>
      </c>
      <c r="F49" s="168">
        <v>47993</v>
      </c>
      <c r="G49" s="168">
        <v>26137</v>
      </c>
      <c r="H49" s="168">
        <v>37602</v>
      </c>
      <c r="I49" s="168">
        <v>29954</v>
      </c>
      <c r="J49" s="168">
        <v>5304</v>
      </c>
      <c r="K49" s="168">
        <v>1670</v>
      </c>
      <c r="L49" s="168">
        <v>2790</v>
      </c>
    </row>
    <row r="50" spans="1:16" ht="17.45" customHeight="1">
      <c r="A50" s="22" t="s">
        <v>93</v>
      </c>
      <c r="B50" s="168">
        <v>13545</v>
      </c>
      <c r="C50" s="168">
        <v>11905</v>
      </c>
      <c r="D50" s="168">
        <v>13041</v>
      </c>
      <c r="E50" s="168">
        <v>12857</v>
      </c>
      <c r="F50" s="168">
        <v>12857</v>
      </c>
      <c r="G50" s="168">
        <v>6823</v>
      </c>
      <c r="H50" s="168">
        <v>10684</v>
      </c>
      <c r="I50" s="168">
        <v>8914</v>
      </c>
      <c r="J50" s="168">
        <v>368</v>
      </c>
      <c r="K50" s="168">
        <v>39</v>
      </c>
      <c r="L50" s="168">
        <v>15</v>
      </c>
    </row>
    <row r="51" spans="1:16" ht="17.45" customHeight="1">
      <c r="A51" s="22" t="s">
        <v>57</v>
      </c>
      <c r="B51" s="168">
        <v>48217</v>
      </c>
      <c r="C51" s="168">
        <v>37877</v>
      </c>
      <c r="D51" s="168">
        <v>45965</v>
      </c>
      <c r="E51" s="168">
        <v>41687</v>
      </c>
      <c r="F51" s="168">
        <v>41221</v>
      </c>
      <c r="G51" s="168">
        <v>20822</v>
      </c>
      <c r="H51" s="168">
        <v>39314</v>
      </c>
      <c r="I51" s="168">
        <v>33100</v>
      </c>
      <c r="J51" s="168">
        <v>346</v>
      </c>
      <c r="K51" s="168">
        <v>37</v>
      </c>
      <c r="L51" s="168">
        <v>7</v>
      </c>
    </row>
    <row r="52" spans="1:16" ht="17.45" customHeight="1">
      <c r="A52" s="4" t="s">
        <v>153</v>
      </c>
      <c r="B52" s="168">
        <v>46459</v>
      </c>
      <c r="C52" s="168">
        <v>46478</v>
      </c>
      <c r="D52" s="168">
        <v>46290</v>
      </c>
      <c r="E52" s="168">
        <v>44193</v>
      </c>
      <c r="F52" s="168">
        <v>43162</v>
      </c>
      <c r="G52" s="168">
        <v>21897</v>
      </c>
      <c r="H52" s="168">
        <v>33071</v>
      </c>
      <c r="I52" s="168">
        <v>27972</v>
      </c>
      <c r="J52" s="168">
        <v>4729</v>
      </c>
      <c r="K52" s="168">
        <v>1528</v>
      </c>
      <c r="L52" s="168">
        <v>736</v>
      </c>
    </row>
    <row r="53" spans="1:16" ht="17.45" customHeight="1">
      <c r="A53" s="4" t="s">
        <v>154</v>
      </c>
      <c r="B53" s="168">
        <v>35203</v>
      </c>
      <c r="C53" s="168">
        <v>30184</v>
      </c>
      <c r="D53" s="168">
        <v>33507</v>
      </c>
      <c r="E53" s="168">
        <v>30417</v>
      </c>
      <c r="F53" s="168">
        <v>29066</v>
      </c>
      <c r="G53" s="168">
        <v>15547</v>
      </c>
      <c r="H53" s="168">
        <v>27746</v>
      </c>
      <c r="I53" s="168">
        <v>21526</v>
      </c>
      <c r="J53" s="168">
        <v>2152</v>
      </c>
      <c r="K53" s="168">
        <v>28</v>
      </c>
      <c r="L53" s="168">
        <v>5</v>
      </c>
    </row>
    <row r="54" spans="1:16" ht="17.45" customHeight="1">
      <c r="A54" s="22" t="s">
        <v>28</v>
      </c>
      <c r="B54" s="168">
        <v>15281</v>
      </c>
      <c r="C54" s="168">
        <v>7256</v>
      </c>
      <c r="D54" s="168">
        <v>15914</v>
      </c>
      <c r="E54" s="168">
        <v>15059</v>
      </c>
      <c r="F54" s="168">
        <v>13868</v>
      </c>
      <c r="G54" s="168">
        <v>7782</v>
      </c>
      <c r="H54" s="168">
        <v>7509</v>
      </c>
      <c r="I54" s="168">
        <v>5898</v>
      </c>
      <c r="J54" s="168">
        <v>798</v>
      </c>
      <c r="K54" s="168">
        <v>217</v>
      </c>
      <c r="L54" s="168">
        <v>75</v>
      </c>
    </row>
    <row r="55" spans="1:16" ht="17.45" customHeight="1">
      <c r="A55" s="22" t="s">
        <v>36</v>
      </c>
      <c r="B55" s="168">
        <v>34818</v>
      </c>
      <c r="C55" s="168">
        <v>33770</v>
      </c>
      <c r="D55" s="168">
        <v>35106</v>
      </c>
      <c r="E55" s="168">
        <v>33583</v>
      </c>
      <c r="F55" s="168">
        <v>32723</v>
      </c>
      <c r="G55" s="168">
        <v>15809</v>
      </c>
      <c r="H55" s="168">
        <v>28496</v>
      </c>
      <c r="I55" s="168">
        <v>24470</v>
      </c>
      <c r="J55" s="168">
        <v>2407</v>
      </c>
      <c r="K55" s="168">
        <v>323</v>
      </c>
      <c r="L55" s="168">
        <v>69</v>
      </c>
    </row>
    <row r="56" spans="1:16" ht="17.45" customHeight="1">
      <c r="A56" s="22" t="s">
        <v>30</v>
      </c>
      <c r="B56" s="168">
        <v>18583</v>
      </c>
      <c r="C56" s="168">
        <v>11103</v>
      </c>
      <c r="D56" s="168">
        <v>19171</v>
      </c>
      <c r="E56" s="168">
        <v>16897</v>
      </c>
      <c r="F56" s="168">
        <v>16021</v>
      </c>
      <c r="G56" s="168">
        <v>8581</v>
      </c>
      <c r="H56" s="168">
        <v>9574</v>
      </c>
      <c r="I56" s="168">
        <v>6547</v>
      </c>
      <c r="J56" s="168">
        <v>1038</v>
      </c>
      <c r="K56" s="168">
        <v>112</v>
      </c>
      <c r="L56" s="168">
        <v>64</v>
      </c>
    </row>
    <row r="57" spans="1:16" ht="17.45" customHeight="1">
      <c r="A57" s="161" t="s">
        <v>179</v>
      </c>
      <c r="B57" s="59">
        <v>31208</v>
      </c>
      <c r="C57" s="59">
        <v>28582</v>
      </c>
      <c r="D57" s="59">
        <v>28593</v>
      </c>
      <c r="E57" s="59">
        <v>23636</v>
      </c>
      <c r="F57" s="59">
        <v>20766</v>
      </c>
      <c r="G57" s="59">
        <v>28491</v>
      </c>
      <c r="H57" s="59">
        <v>21677</v>
      </c>
      <c r="I57" s="59">
        <v>15481</v>
      </c>
      <c r="J57" s="59">
        <v>2322</v>
      </c>
      <c r="K57" s="59">
        <v>300</v>
      </c>
      <c r="L57" s="59">
        <v>87</v>
      </c>
      <c r="M57" s="19"/>
      <c r="N57" s="19"/>
      <c r="O57" s="19"/>
      <c r="P57" s="19"/>
    </row>
    <row r="58" spans="1:16" ht="17.45" customHeight="1">
      <c r="A58" s="22" t="s">
        <v>26</v>
      </c>
      <c r="B58" s="168">
        <v>35588</v>
      </c>
      <c r="C58" s="168">
        <v>27292</v>
      </c>
      <c r="D58" s="168">
        <v>34025</v>
      </c>
      <c r="E58" s="168">
        <v>30893</v>
      </c>
      <c r="F58" s="168">
        <v>29225</v>
      </c>
      <c r="G58" s="168">
        <v>17260</v>
      </c>
      <c r="H58" s="168">
        <v>21756</v>
      </c>
      <c r="I58" s="168">
        <v>17643</v>
      </c>
      <c r="J58" s="168">
        <v>1183</v>
      </c>
      <c r="K58" s="168">
        <v>358</v>
      </c>
      <c r="L58" s="168">
        <v>192</v>
      </c>
    </row>
    <row r="59" spans="1:16" ht="17.45" customHeight="1">
      <c r="A59" s="22" t="s">
        <v>92</v>
      </c>
      <c r="B59" s="168">
        <v>16980</v>
      </c>
      <c r="C59" s="168">
        <v>11548</v>
      </c>
      <c r="D59" s="168">
        <v>20086</v>
      </c>
      <c r="E59" s="168">
        <v>18380</v>
      </c>
      <c r="F59" s="168">
        <v>16614</v>
      </c>
      <c r="G59" s="168">
        <v>9222</v>
      </c>
      <c r="H59" s="168">
        <v>9497</v>
      </c>
      <c r="I59" s="168">
        <v>4842</v>
      </c>
      <c r="J59" s="168">
        <v>602</v>
      </c>
      <c r="K59" s="168">
        <v>30</v>
      </c>
      <c r="L59" s="168">
        <v>35</v>
      </c>
    </row>
    <row r="60" spans="1:16" ht="17.45" customHeight="1">
      <c r="A60" s="161" t="s">
        <v>180</v>
      </c>
      <c r="B60" s="59">
        <v>16318</v>
      </c>
      <c r="C60" s="59">
        <v>12132</v>
      </c>
      <c r="D60" s="59">
        <v>17697</v>
      </c>
      <c r="E60" s="59">
        <v>15519</v>
      </c>
      <c r="F60" s="59">
        <v>14053</v>
      </c>
      <c r="G60" s="59">
        <v>25730</v>
      </c>
      <c r="H60" s="59">
        <v>16234</v>
      </c>
      <c r="I60" s="59">
        <v>13165</v>
      </c>
      <c r="J60" s="59">
        <v>5980</v>
      </c>
      <c r="K60" s="59">
        <v>1947</v>
      </c>
      <c r="L60" s="59">
        <v>800</v>
      </c>
      <c r="M60" s="16"/>
      <c r="N60" s="16"/>
      <c r="O60" s="16"/>
      <c r="P60" s="16"/>
    </row>
    <row r="61" spans="1:16" ht="17.45" customHeight="1">
      <c r="A61" s="22" t="s">
        <v>55</v>
      </c>
      <c r="B61" s="168">
        <v>25066</v>
      </c>
      <c r="C61" s="168">
        <v>7854</v>
      </c>
      <c r="D61" s="168">
        <v>26882</v>
      </c>
      <c r="E61" s="168">
        <v>23016</v>
      </c>
      <c r="F61" s="168">
        <v>20877</v>
      </c>
      <c r="G61" s="168">
        <v>14105</v>
      </c>
      <c r="H61" s="168">
        <v>16318</v>
      </c>
      <c r="I61" s="168">
        <v>9849</v>
      </c>
      <c r="J61" s="168">
        <v>1122</v>
      </c>
      <c r="K61" s="168">
        <v>68</v>
      </c>
      <c r="L61" s="168">
        <v>27</v>
      </c>
    </row>
    <row r="62" spans="1:16" ht="17.45" customHeight="1">
      <c r="A62" s="22" t="s">
        <v>95</v>
      </c>
      <c r="B62" s="168">
        <v>25545</v>
      </c>
      <c r="C62" s="168">
        <v>25365</v>
      </c>
      <c r="D62" s="168">
        <v>25333</v>
      </c>
      <c r="E62" s="168">
        <v>24389</v>
      </c>
      <c r="F62" s="168">
        <v>24206</v>
      </c>
      <c r="G62" s="168">
        <v>13172</v>
      </c>
      <c r="H62" s="168">
        <v>22523</v>
      </c>
      <c r="I62" s="168">
        <v>19386</v>
      </c>
      <c r="J62" s="168">
        <v>428</v>
      </c>
      <c r="K62" s="168">
        <v>64</v>
      </c>
      <c r="L62" s="168">
        <v>9</v>
      </c>
    </row>
    <row r="63" spans="1:16" ht="17.45" customHeight="1">
      <c r="A63" s="22" t="s">
        <v>39</v>
      </c>
      <c r="B63" s="168">
        <v>50998</v>
      </c>
      <c r="C63" s="168">
        <v>44792</v>
      </c>
      <c r="D63" s="168">
        <v>51484</v>
      </c>
      <c r="E63" s="168">
        <v>49159</v>
      </c>
      <c r="F63" s="168">
        <v>49175</v>
      </c>
      <c r="G63" s="168">
        <v>23749</v>
      </c>
      <c r="H63" s="168">
        <v>35903</v>
      </c>
      <c r="I63" s="168">
        <v>28403</v>
      </c>
      <c r="J63" s="168">
        <v>1358</v>
      </c>
      <c r="K63" s="168">
        <v>457</v>
      </c>
      <c r="L63" s="168">
        <v>237</v>
      </c>
    </row>
    <row r="64" spans="1:16" ht="17.45" customHeight="1">
      <c r="A64" s="22" t="s">
        <v>20</v>
      </c>
      <c r="B64" s="168">
        <v>81953</v>
      </c>
      <c r="C64" s="168">
        <v>81128</v>
      </c>
      <c r="D64" s="168">
        <v>78744</v>
      </c>
      <c r="E64" s="168">
        <v>72990</v>
      </c>
      <c r="F64" s="168">
        <v>72242</v>
      </c>
      <c r="G64" s="168">
        <v>38620</v>
      </c>
      <c r="H64" s="168">
        <v>62203</v>
      </c>
      <c r="I64" s="168">
        <v>50614</v>
      </c>
      <c r="J64" s="168">
        <v>2712</v>
      </c>
      <c r="K64" s="168">
        <v>475</v>
      </c>
      <c r="L64" s="168">
        <v>162</v>
      </c>
    </row>
    <row r="65" spans="1:16" ht="17.45" customHeight="1">
      <c r="A65" s="161" t="s">
        <v>181</v>
      </c>
      <c r="B65" s="59">
        <v>12979</v>
      </c>
      <c r="C65" s="59">
        <v>8940</v>
      </c>
      <c r="D65" s="59">
        <v>15857</v>
      </c>
      <c r="E65" s="59">
        <v>12438</v>
      </c>
      <c r="F65" s="59">
        <v>10407</v>
      </c>
      <c r="G65" s="59">
        <v>13230</v>
      </c>
      <c r="H65" s="59">
        <v>9749</v>
      </c>
      <c r="I65" s="59">
        <v>7326</v>
      </c>
      <c r="J65" s="59">
        <v>1464</v>
      </c>
      <c r="K65" s="59" t="s">
        <v>247</v>
      </c>
      <c r="L65" s="59" t="s">
        <v>247</v>
      </c>
      <c r="M65" s="19"/>
      <c r="N65" s="19"/>
      <c r="O65" s="19"/>
      <c r="P65" s="19"/>
    </row>
    <row r="66" spans="1:16" ht="17.45" customHeight="1">
      <c r="A66" s="161" t="s">
        <v>183</v>
      </c>
      <c r="B66" s="59">
        <v>10384</v>
      </c>
      <c r="C66" s="59">
        <v>10324</v>
      </c>
      <c r="D66" s="59">
        <v>10105</v>
      </c>
      <c r="E66" s="59">
        <v>8915</v>
      </c>
      <c r="F66" s="59">
        <v>8137</v>
      </c>
      <c r="G66" s="59">
        <v>11876</v>
      </c>
      <c r="H66" s="59">
        <v>7359</v>
      </c>
      <c r="I66" s="59">
        <v>5232</v>
      </c>
      <c r="J66" s="59">
        <v>2131</v>
      </c>
      <c r="K66" s="59">
        <v>802</v>
      </c>
      <c r="L66" s="59">
        <v>313</v>
      </c>
      <c r="M66" s="19"/>
      <c r="N66" s="19"/>
      <c r="O66" s="19"/>
      <c r="P66" s="19"/>
    </row>
    <row r="67" spans="1:16" ht="17.45" customHeight="1">
      <c r="A67" s="22" t="s">
        <v>15</v>
      </c>
      <c r="B67" s="168">
        <v>50849</v>
      </c>
      <c r="C67" s="168">
        <v>50125</v>
      </c>
      <c r="D67" s="168">
        <v>50002</v>
      </c>
      <c r="E67" s="168">
        <v>45729</v>
      </c>
      <c r="F67" s="168">
        <v>44918</v>
      </c>
      <c r="G67" s="168">
        <v>22567</v>
      </c>
      <c r="H67" s="168">
        <v>29486</v>
      </c>
      <c r="I67" s="168">
        <v>24096</v>
      </c>
      <c r="J67" s="168">
        <v>4623</v>
      </c>
      <c r="K67" s="168">
        <v>1907</v>
      </c>
      <c r="L67" s="168">
        <v>960</v>
      </c>
    </row>
    <row r="68" spans="1:16" ht="17.45" customHeight="1">
      <c r="A68" s="161" t="s">
        <v>182</v>
      </c>
      <c r="B68" s="59">
        <v>5062</v>
      </c>
      <c r="C68" s="59">
        <v>1257</v>
      </c>
      <c r="D68" s="59">
        <v>6806</v>
      </c>
      <c r="E68" s="59">
        <v>5564</v>
      </c>
      <c r="F68" s="59">
        <v>4973</v>
      </c>
      <c r="G68" s="59">
        <v>7261</v>
      </c>
      <c r="H68" s="59">
        <v>5254</v>
      </c>
      <c r="I68" s="59">
        <v>5850</v>
      </c>
      <c r="J68" s="59">
        <v>1323</v>
      </c>
      <c r="K68" s="59">
        <v>497</v>
      </c>
      <c r="L68" s="59">
        <v>319</v>
      </c>
      <c r="M68" s="19"/>
      <c r="N68" s="19"/>
      <c r="O68" s="19"/>
      <c r="P68" s="19"/>
    </row>
    <row r="69" spans="1:16" s="16" customFormat="1" ht="17.45" customHeight="1">
      <c r="A69" s="22" t="s">
        <v>13</v>
      </c>
      <c r="B69" s="168">
        <v>141974</v>
      </c>
      <c r="C69" s="168">
        <v>137490</v>
      </c>
      <c r="D69" s="168">
        <v>134192</v>
      </c>
      <c r="E69" s="168">
        <v>118701</v>
      </c>
      <c r="F69" s="168">
        <v>110910</v>
      </c>
      <c r="G69" s="168">
        <v>56814</v>
      </c>
      <c r="H69" s="168">
        <v>75033</v>
      </c>
      <c r="I69" s="168">
        <v>57440</v>
      </c>
      <c r="J69" s="168">
        <v>9685</v>
      </c>
      <c r="K69" s="168">
        <v>3258</v>
      </c>
      <c r="L69" s="168">
        <v>1859</v>
      </c>
      <c r="M69" s="41"/>
      <c r="N69" s="41"/>
      <c r="O69" s="41"/>
      <c r="P69" s="41"/>
    </row>
    <row r="70" spans="1:16" s="19" customFormat="1" ht="17.45" customHeight="1">
      <c r="A70" s="161" t="s">
        <v>184</v>
      </c>
      <c r="B70" s="59">
        <v>6947</v>
      </c>
      <c r="C70" s="59">
        <v>2364</v>
      </c>
      <c r="D70" s="59">
        <v>10309</v>
      </c>
      <c r="E70" s="59">
        <v>9751</v>
      </c>
      <c r="F70" s="59">
        <v>4543</v>
      </c>
      <c r="G70" s="59">
        <v>6871</v>
      </c>
      <c r="H70" s="59">
        <v>4990</v>
      </c>
      <c r="I70" s="59">
        <v>2183</v>
      </c>
      <c r="J70" s="59">
        <v>540</v>
      </c>
      <c r="K70" s="59">
        <v>140</v>
      </c>
      <c r="L70" s="59">
        <v>72</v>
      </c>
    </row>
    <row r="71" spans="1:16" s="16" customFormat="1" ht="17.45" customHeight="1">
      <c r="A71" s="22" t="s">
        <v>94</v>
      </c>
      <c r="B71" s="168">
        <v>25925</v>
      </c>
      <c r="C71" s="168">
        <v>11810</v>
      </c>
      <c r="D71" s="168">
        <v>27631</v>
      </c>
      <c r="E71" s="168">
        <v>26488</v>
      </c>
      <c r="F71" s="168">
        <v>26215</v>
      </c>
      <c r="G71" s="168">
        <v>13846</v>
      </c>
      <c r="H71" s="168">
        <v>13781</v>
      </c>
      <c r="I71" s="168">
        <v>8953</v>
      </c>
      <c r="J71" s="168">
        <v>1803</v>
      </c>
      <c r="K71" s="168">
        <v>364</v>
      </c>
      <c r="L71" s="168">
        <v>144</v>
      </c>
      <c r="M71" s="41"/>
      <c r="N71" s="41"/>
      <c r="O71" s="41"/>
      <c r="P71" s="41"/>
    </row>
    <row r="72" spans="1:16" s="19" customFormat="1" ht="17.45" customHeight="1">
      <c r="A72" s="22" t="s">
        <v>23</v>
      </c>
      <c r="B72" s="168">
        <v>56593</v>
      </c>
      <c r="C72" s="168">
        <v>55962</v>
      </c>
      <c r="D72" s="168">
        <v>56214</v>
      </c>
      <c r="E72" s="168">
        <v>51639</v>
      </c>
      <c r="F72" s="168">
        <v>51124</v>
      </c>
      <c r="G72" s="168">
        <v>29221</v>
      </c>
      <c r="H72" s="168">
        <v>37309</v>
      </c>
      <c r="I72" s="168">
        <v>31207</v>
      </c>
      <c r="J72" s="168">
        <v>4399</v>
      </c>
      <c r="K72" s="168">
        <v>1175</v>
      </c>
      <c r="L72" s="168">
        <v>480</v>
      </c>
      <c r="M72" s="41"/>
      <c r="N72" s="41"/>
      <c r="O72" s="41"/>
      <c r="P72" s="41"/>
    </row>
    <row r="73" spans="1:16" s="19" customFormat="1" ht="17.45" customHeight="1">
      <c r="A73" s="22" t="s">
        <v>71</v>
      </c>
      <c r="B73" s="168">
        <v>78825</v>
      </c>
      <c r="C73" s="168">
        <v>78686</v>
      </c>
      <c r="D73" s="168">
        <v>80855</v>
      </c>
      <c r="E73" s="168">
        <v>76827</v>
      </c>
      <c r="F73" s="168">
        <v>76385</v>
      </c>
      <c r="G73" s="168">
        <v>39957</v>
      </c>
      <c r="H73" s="168">
        <v>63968</v>
      </c>
      <c r="I73" s="168">
        <v>55832</v>
      </c>
      <c r="J73" s="168">
        <v>2224</v>
      </c>
      <c r="K73" s="168">
        <v>270</v>
      </c>
      <c r="L73" s="168">
        <v>83</v>
      </c>
      <c r="M73" s="41"/>
      <c r="N73" s="41"/>
      <c r="O73" s="41"/>
      <c r="P73" s="41"/>
    </row>
    <row r="74" spans="1:16" s="19" customFormat="1" ht="17.45" customHeight="1">
      <c r="A74" s="22" t="s">
        <v>51</v>
      </c>
      <c r="B74" s="168">
        <v>15947</v>
      </c>
      <c r="C74" s="168">
        <v>9365</v>
      </c>
      <c r="D74" s="168">
        <v>16395</v>
      </c>
      <c r="E74" s="168">
        <v>13657</v>
      </c>
      <c r="F74" s="168">
        <v>12748</v>
      </c>
      <c r="G74" s="168">
        <v>8566</v>
      </c>
      <c r="H74" s="168">
        <v>11547</v>
      </c>
      <c r="I74" s="168">
        <v>8396</v>
      </c>
      <c r="J74" s="168">
        <v>1570</v>
      </c>
      <c r="K74" s="168">
        <v>481</v>
      </c>
      <c r="L74" s="168">
        <v>113</v>
      </c>
      <c r="M74" s="41"/>
      <c r="N74" s="41"/>
      <c r="O74" s="41"/>
      <c r="P74" s="41"/>
    </row>
    <row r="75" spans="1:16" s="19" customFormat="1" ht="17.45" customHeight="1">
      <c r="A75" s="22" t="s">
        <v>147</v>
      </c>
      <c r="B75" s="169">
        <v>5639</v>
      </c>
      <c r="C75" s="168">
        <v>710</v>
      </c>
      <c r="D75" s="168">
        <v>5658</v>
      </c>
      <c r="E75" s="168">
        <v>5277</v>
      </c>
      <c r="F75" s="168">
        <v>4983</v>
      </c>
      <c r="G75" s="168">
        <v>2272</v>
      </c>
      <c r="H75" s="168">
        <v>1008</v>
      </c>
      <c r="I75" s="168">
        <v>494</v>
      </c>
      <c r="J75" s="168">
        <v>127</v>
      </c>
      <c r="K75" s="168">
        <v>68</v>
      </c>
      <c r="L75" s="168">
        <v>59</v>
      </c>
      <c r="M75" s="41"/>
      <c r="N75" s="41"/>
      <c r="O75" s="41"/>
      <c r="P75" s="41"/>
    </row>
    <row r="76" spans="1:16" ht="13.15" customHeight="1">
      <c r="L76" s="142" t="s">
        <v>123</v>
      </c>
    </row>
    <row r="77" spans="1:16" ht="60" customHeight="1">
      <c r="A77" s="280" t="s">
        <v>195</v>
      </c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</row>
    <row r="78" spans="1:16" s="27" customFormat="1" ht="13.15" customHeight="1">
      <c r="A78" s="27" t="s">
        <v>265</v>
      </c>
      <c r="E78" s="158" t="s">
        <v>203</v>
      </c>
      <c r="F78" s="158"/>
      <c r="G78" s="158"/>
      <c r="K78" s="284" t="s">
        <v>89</v>
      </c>
      <c r="L78" s="284"/>
    </row>
    <row r="79" spans="1:16" ht="20.100000000000001" customHeight="1">
      <c r="A79" s="290" t="s">
        <v>91</v>
      </c>
      <c r="B79" s="290" t="s">
        <v>115</v>
      </c>
      <c r="C79" s="290" t="s">
        <v>109</v>
      </c>
      <c r="D79" s="291" t="s">
        <v>116</v>
      </c>
      <c r="E79" s="291"/>
      <c r="F79" s="292"/>
      <c r="G79" s="290" t="s">
        <v>124</v>
      </c>
      <c r="H79" s="290" t="s">
        <v>117</v>
      </c>
      <c r="I79" s="290"/>
      <c r="J79" s="290"/>
      <c r="K79" s="290"/>
      <c r="L79" s="290"/>
    </row>
    <row r="80" spans="1:16" ht="20.100000000000001" customHeight="1">
      <c r="A80" s="290"/>
      <c r="B80" s="290"/>
      <c r="C80" s="290"/>
      <c r="D80" s="175">
        <v>1</v>
      </c>
      <c r="E80" s="176">
        <v>2</v>
      </c>
      <c r="F80" s="176">
        <v>3</v>
      </c>
      <c r="G80" s="290"/>
      <c r="H80" s="176" t="s">
        <v>118</v>
      </c>
      <c r="I80" s="176" t="s">
        <v>119</v>
      </c>
      <c r="J80" s="176" t="s">
        <v>120</v>
      </c>
      <c r="K80" s="176" t="s">
        <v>121</v>
      </c>
      <c r="L80" s="176" t="s">
        <v>122</v>
      </c>
    </row>
    <row r="81" spans="1:16" ht="25.5" customHeight="1">
      <c r="A81" s="153" t="s">
        <v>197</v>
      </c>
      <c r="B81" s="151">
        <f>SUM(B82:B113)</f>
        <v>1085944</v>
      </c>
      <c r="C81" s="151">
        <f t="shared" ref="C81:L81" si="2">SUM(C82:C113)</f>
        <v>894588</v>
      </c>
      <c r="D81" s="151">
        <f t="shared" si="2"/>
        <v>1071039</v>
      </c>
      <c r="E81" s="151">
        <f t="shared" si="2"/>
        <v>951735</v>
      </c>
      <c r="F81" s="151">
        <f t="shared" si="2"/>
        <v>910121</v>
      </c>
      <c r="G81" s="151">
        <f t="shared" si="2"/>
        <v>1037331</v>
      </c>
      <c r="H81" s="151">
        <f t="shared" si="2"/>
        <v>727763</v>
      </c>
      <c r="I81" s="151">
        <f t="shared" si="2"/>
        <v>568301</v>
      </c>
      <c r="J81" s="151">
        <f t="shared" si="2"/>
        <v>61120</v>
      </c>
      <c r="K81" s="151">
        <f t="shared" si="2"/>
        <v>17092</v>
      </c>
      <c r="L81" s="151">
        <f t="shared" si="2"/>
        <v>7847</v>
      </c>
    </row>
    <row r="82" spans="1:16" ht="17.45" customHeight="1">
      <c r="A82" s="22" t="s">
        <v>34</v>
      </c>
      <c r="B82" s="170">
        <v>45490</v>
      </c>
      <c r="C82" s="170">
        <v>42737</v>
      </c>
      <c r="D82" s="170">
        <v>40385</v>
      </c>
      <c r="E82" s="170">
        <v>37571</v>
      </c>
      <c r="F82" s="170">
        <v>36493</v>
      </c>
      <c r="G82" s="170">
        <v>36641</v>
      </c>
      <c r="H82" s="170">
        <v>30960</v>
      </c>
      <c r="I82" s="170">
        <v>26524</v>
      </c>
      <c r="J82" s="170">
        <v>3</v>
      </c>
      <c r="K82" s="170" t="s">
        <v>247</v>
      </c>
      <c r="L82" s="170">
        <v>7</v>
      </c>
    </row>
    <row r="83" spans="1:16" ht="17.45" customHeight="1">
      <c r="A83" s="161" t="s">
        <v>178</v>
      </c>
      <c r="B83" s="171">
        <v>41626</v>
      </c>
      <c r="C83" s="171">
        <v>29615</v>
      </c>
      <c r="D83" s="171">
        <v>39038</v>
      </c>
      <c r="E83" s="171">
        <v>36475</v>
      </c>
      <c r="F83" s="171">
        <v>35490</v>
      </c>
      <c r="G83" s="171">
        <v>66224</v>
      </c>
      <c r="H83" s="171">
        <v>26222</v>
      </c>
      <c r="I83" s="171">
        <v>19886</v>
      </c>
      <c r="J83" s="171">
        <v>5392</v>
      </c>
      <c r="K83" s="171">
        <v>756</v>
      </c>
      <c r="L83" s="171">
        <v>135</v>
      </c>
      <c r="M83" s="16"/>
      <c r="N83" s="16"/>
      <c r="O83" s="16"/>
      <c r="P83" s="16"/>
    </row>
    <row r="84" spans="1:16" ht="17.45" customHeight="1">
      <c r="A84" s="22" t="s">
        <v>53</v>
      </c>
      <c r="B84" s="170">
        <f>37621+5943</f>
        <v>43564</v>
      </c>
      <c r="C84" s="170">
        <f>13579+3197</f>
        <v>16776</v>
      </c>
      <c r="D84" s="170">
        <f>38621+8117</f>
        <v>46738</v>
      </c>
      <c r="E84" s="170">
        <f>32192+6536</f>
        <v>38728</v>
      </c>
      <c r="F84" s="170">
        <f>29960+5628</f>
        <v>35588</v>
      </c>
      <c r="G84" s="170">
        <f>36236+5711+3806</f>
        <v>45753</v>
      </c>
      <c r="H84" s="170">
        <f>24916+2873</f>
        <v>27789</v>
      </c>
      <c r="I84" s="170">
        <f>17288+2235</f>
        <v>19523</v>
      </c>
      <c r="J84" s="170">
        <f>1954+960</f>
        <v>2914</v>
      </c>
      <c r="K84" s="170">
        <f>612+575</f>
        <v>1187</v>
      </c>
      <c r="L84" s="170">
        <f>275+267</f>
        <v>542</v>
      </c>
    </row>
    <row r="85" spans="1:16" ht="17.45" customHeight="1">
      <c r="A85" s="22" t="s">
        <v>44</v>
      </c>
      <c r="B85" s="170">
        <v>13621</v>
      </c>
      <c r="C85" s="170">
        <v>6936</v>
      </c>
      <c r="D85" s="170">
        <v>13397</v>
      </c>
      <c r="E85" s="170">
        <v>12242</v>
      </c>
      <c r="F85" s="170">
        <v>12066</v>
      </c>
      <c r="G85" s="170">
        <v>12196</v>
      </c>
      <c r="H85" s="170">
        <v>9591</v>
      </c>
      <c r="I85" s="170">
        <v>6224</v>
      </c>
      <c r="J85" s="170">
        <v>5</v>
      </c>
      <c r="K85" s="170" t="s">
        <v>247</v>
      </c>
      <c r="L85" s="170" t="s">
        <v>247</v>
      </c>
    </row>
    <row r="86" spans="1:16" ht="17.45" customHeight="1">
      <c r="A86" s="22" t="s">
        <v>80</v>
      </c>
      <c r="B86" s="170">
        <v>28995</v>
      </c>
      <c r="C86" s="170">
        <v>24879</v>
      </c>
      <c r="D86" s="170">
        <v>28431</v>
      </c>
      <c r="E86" s="170">
        <v>25681</v>
      </c>
      <c r="F86" s="170">
        <v>24791</v>
      </c>
      <c r="G86" s="170">
        <v>25052</v>
      </c>
      <c r="H86" s="170">
        <v>21489</v>
      </c>
      <c r="I86" s="170">
        <v>17905</v>
      </c>
      <c r="J86" s="170">
        <v>1385</v>
      </c>
      <c r="K86" s="170">
        <v>511</v>
      </c>
      <c r="L86" s="170">
        <v>267</v>
      </c>
    </row>
    <row r="87" spans="1:16" ht="17.45" customHeight="1">
      <c r="A87" s="22" t="s">
        <v>17</v>
      </c>
      <c r="B87" s="170">
        <v>53030</v>
      </c>
      <c r="C87" s="170">
        <v>53165</v>
      </c>
      <c r="D87" s="170">
        <v>49718</v>
      </c>
      <c r="E87" s="170">
        <v>42787</v>
      </c>
      <c r="F87" s="170">
        <v>41590</v>
      </c>
      <c r="G87" s="170">
        <v>43519</v>
      </c>
      <c r="H87" s="170">
        <v>34567</v>
      </c>
      <c r="I87" s="170">
        <v>27012</v>
      </c>
      <c r="J87" s="170">
        <v>4654</v>
      </c>
      <c r="K87" s="170">
        <v>1709</v>
      </c>
      <c r="L87" s="170">
        <v>949</v>
      </c>
    </row>
    <row r="88" spans="1:16" ht="17.45" customHeight="1">
      <c r="A88" s="22" t="s">
        <v>93</v>
      </c>
      <c r="B88" s="170">
        <v>12689</v>
      </c>
      <c r="C88" s="170">
        <v>11153</v>
      </c>
      <c r="D88" s="170">
        <v>12619</v>
      </c>
      <c r="E88" s="170">
        <v>11729</v>
      </c>
      <c r="F88" s="170">
        <v>11454</v>
      </c>
      <c r="G88" s="170">
        <v>12134</v>
      </c>
      <c r="H88" s="170">
        <v>9653</v>
      </c>
      <c r="I88" s="170">
        <v>8099</v>
      </c>
      <c r="J88" s="170">
        <v>336</v>
      </c>
      <c r="K88" s="170">
        <v>45</v>
      </c>
      <c r="L88" s="170">
        <v>32</v>
      </c>
    </row>
    <row r="89" spans="1:16" ht="17.45" customHeight="1">
      <c r="A89" s="22" t="s">
        <v>57</v>
      </c>
      <c r="B89" s="170">
        <f>46729+2517</f>
        <v>49246</v>
      </c>
      <c r="C89" s="170">
        <f>36718+1056</f>
        <v>37774</v>
      </c>
      <c r="D89" s="170">
        <f>46298+2062</f>
        <v>48360</v>
      </c>
      <c r="E89" s="170">
        <f>42599+1597</f>
        <v>44196</v>
      </c>
      <c r="F89" s="170">
        <f>42463+1424</f>
        <v>43887</v>
      </c>
      <c r="G89" s="170">
        <f>44310+1711+679</f>
        <v>46700</v>
      </c>
      <c r="H89" s="170">
        <f>39790+841</f>
        <v>40631</v>
      </c>
      <c r="I89" s="170">
        <f>33393+447</f>
        <v>33840</v>
      </c>
      <c r="J89" s="170">
        <f>654+141</f>
        <v>795</v>
      </c>
      <c r="K89" s="170">
        <f>78+23</f>
        <v>101</v>
      </c>
      <c r="L89" s="170">
        <f>17+2</f>
        <v>19</v>
      </c>
    </row>
    <row r="90" spans="1:16" ht="17.45" customHeight="1">
      <c r="A90" s="4" t="s">
        <v>153</v>
      </c>
      <c r="B90" s="170">
        <v>42881</v>
      </c>
      <c r="C90" s="170">
        <v>42863</v>
      </c>
      <c r="D90" s="170">
        <v>41474</v>
      </c>
      <c r="E90" s="170">
        <v>38367</v>
      </c>
      <c r="F90" s="170">
        <v>36801</v>
      </c>
      <c r="G90" s="170">
        <v>35442</v>
      </c>
      <c r="H90" s="170">
        <v>30121</v>
      </c>
      <c r="I90" s="170">
        <v>24304</v>
      </c>
      <c r="J90" s="170">
        <v>4122</v>
      </c>
      <c r="K90" s="170">
        <v>1301</v>
      </c>
      <c r="L90" s="170">
        <v>585</v>
      </c>
    </row>
    <row r="91" spans="1:16" ht="17.45" customHeight="1">
      <c r="A91" s="4" t="s">
        <v>154</v>
      </c>
      <c r="B91" s="170">
        <v>35709</v>
      </c>
      <c r="C91" s="170">
        <v>29708</v>
      </c>
      <c r="D91" s="170">
        <v>33758</v>
      </c>
      <c r="E91" s="170">
        <v>30304</v>
      </c>
      <c r="F91" s="170">
        <v>28635</v>
      </c>
      <c r="G91" s="170">
        <v>28474</v>
      </c>
      <c r="H91" s="170">
        <v>26892</v>
      </c>
      <c r="I91" s="170">
        <v>20878</v>
      </c>
      <c r="J91" s="170">
        <v>1813</v>
      </c>
      <c r="K91" s="170">
        <v>16</v>
      </c>
      <c r="L91" s="170" t="s">
        <v>247</v>
      </c>
    </row>
    <row r="92" spans="1:16" ht="17.45" customHeight="1">
      <c r="A92" s="22" t="s">
        <v>28</v>
      </c>
      <c r="B92" s="170">
        <v>14406</v>
      </c>
      <c r="C92" s="170">
        <v>6137</v>
      </c>
      <c r="D92" s="170">
        <v>14788</v>
      </c>
      <c r="E92" s="170">
        <v>13644</v>
      </c>
      <c r="F92" s="170">
        <v>12175</v>
      </c>
      <c r="G92" s="170">
        <v>12593</v>
      </c>
      <c r="H92" s="170">
        <v>10848</v>
      </c>
      <c r="I92" s="170">
        <v>6793</v>
      </c>
      <c r="J92" s="170">
        <v>613</v>
      </c>
      <c r="K92" s="170">
        <v>291</v>
      </c>
      <c r="L92" s="170">
        <v>120</v>
      </c>
    </row>
    <row r="93" spans="1:16" ht="17.45" customHeight="1">
      <c r="A93" s="22" t="s">
        <v>36</v>
      </c>
      <c r="B93" s="170">
        <v>29957</v>
      </c>
      <c r="C93" s="170">
        <v>29288</v>
      </c>
      <c r="D93" s="170">
        <v>31054</v>
      </c>
      <c r="E93" s="170">
        <v>28286</v>
      </c>
      <c r="F93" s="170">
        <v>27120</v>
      </c>
      <c r="G93" s="170">
        <v>28221</v>
      </c>
      <c r="H93" s="170">
        <v>24714</v>
      </c>
      <c r="I93" s="170">
        <v>21001</v>
      </c>
      <c r="J93" s="170">
        <v>1003</v>
      </c>
      <c r="K93" s="170">
        <v>236</v>
      </c>
      <c r="L93" s="170">
        <v>59</v>
      </c>
    </row>
    <row r="94" spans="1:16" ht="17.45" customHeight="1">
      <c r="A94" s="22" t="s">
        <v>30</v>
      </c>
      <c r="B94" s="170">
        <v>19176</v>
      </c>
      <c r="C94" s="170">
        <v>10739</v>
      </c>
      <c r="D94" s="170">
        <v>18404</v>
      </c>
      <c r="E94" s="170">
        <v>15272</v>
      </c>
      <c r="F94" s="170">
        <v>12486</v>
      </c>
      <c r="G94" s="170">
        <v>15446</v>
      </c>
      <c r="H94" s="170">
        <v>8083</v>
      </c>
      <c r="I94" s="170">
        <v>5462</v>
      </c>
      <c r="J94" s="170">
        <v>745</v>
      </c>
      <c r="K94" s="170">
        <v>87</v>
      </c>
      <c r="L94" s="170">
        <v>9</v>
      </c>
    </row>
    <row r="95" spans="1:16" ht="17.45" customHeight="1">
      <c r="A95" s="161" t="s">
        <v>179</v>
      </c>
      <c r="B95" s="171">
        <v>28330</v>
      </c>
      <c r="C95" s="171">
        <v>22461</v>
      </c>
      <c r="D95" s="171">
        <v>26182</v>
      </c>
      <c r="E95" s="171">
        <v>21866</v>
      </c>
      <c r="F95" s="171">
        <v>19128</v>
      </c>
      <c r="G95" s="171">
        <v>30159</v>
      </c>
      <c r="H95" s="171">
        <v>21522</v>
      </c>
      <c r="I95" s="171">
        <v>15592</v>
      </c>
      <c r="J95" s="171">
        <v>2089</v>
      </c>
      <c r="K95" s="171">
        <v>251</v>
      </c>
      <c r="L95" s="171">
        <v>78</v>
      </c>
      <c r="M95" s="19"/>
      <c r="N95" s="19"/>
      <c r="O95" s="19"/>
      <c r="P95" s="19"/>
    </row>
    <row r="96" spans="1:16" ht="17.45" customHeight="1">
      <c r="A96" s="22" t="s">
        <v>26</v>
      </c>
      <c r="B96" s="170">
        <f>33990+3127</f>
        <v>37117</v>
      </c>
      <c r="C96" s="170">
        <f>26157+3127</f>
        <v>29284</v>
      </c>
      <c r="D96" s="170">
        <f>31563+2740</f>
        <v>34303</v>
      </c>
      <c r="E96" s="170">
        <f>27963+2251</f>
        <v>30214</v>
      </c>
      <c r="F96" s="170">
        <f>26085+2298</f>
        <v>28383</v>
      </c>
      <c r="G96" s="170">
        <f>26469+2244+1418</f>
        <v>30131</v>
      </c>
      <c r="H96" s="170">
        <f>20329+2572</f>
        <v>22901</v>
      </c>
      <c r="I96" s="170">
        <f>14940+1837</f>
        <v>16777</v>
      </c>
      <c r="J96" s="170">
        <f>671+327</f>
        <v>998</v>
      </c>
      <c r="K96" s="170">
        <f>223+61</f>
        <v>284</v>
      </c>
      <c r="L96" s="170">
        <f>112+20</f>
        <v>132</v>
      </c>
    </row>
    <row r="97" spans="1:16" ht="17.45" customHeight="1">
      <c r="A97" s="22" t="s">
        <v>92</v>
      </c>
      <c r="B97" s="170">
        <v>15882</v>
      </c>
      <c r="C97" s="170">
        <v>9177</v>
      </c>
      <c r="D97" s="170">
        <v>16350</v>
      </c>
      <c r="E97" s="170">
        <v>14121</v>
      </c>
      <c r="F97" s="170">
        <v>12337</v>
      </c>
      <c r="G97" s="170">
        <v>12332</v>
      </c>
      <c r="H97" s="170">
        <v>5575</v>
      </c>
      <c r="I97" s="170">
        <v>3114</v>
      </c>
      <c r="J97" s="170">
        <v>343</v>
      </c>
      <c r="K97" s="170">
        <v>13</v>
      </c>
      <c r="L97" s="170">
        <v>10</v>
      </c>
    </row>
    <row r="98" spans="1:16" ht="17.45" customHeight="1">
      <c r="A98" s="161" t="s">
        <v>180</v>
      </c>
      <c r="B98" s="171">
        <v>15466</v>
      </c>
      <c r="C98" s="171">
        <v>11558</v>
      </c>
      <c r="D98" s="171">
        <v>16040</v>
      </c>
      <c r="E98" s="171">
        <v>14925</v>
      </c>
      <c r="F98" s="171">
        <v>13874</v>
      </c>
      <c r="G98" s="171">
        <v>24165</v>
      </c>
      <c r="H98" s="171">
        <v>16353</v>
      </c>
      <c r="I98" s="171">
        <v>14146</v>
      </c>
      <c r="J98" s="171">
        <v>6361</v>
      </c>
      <c r="K98" s="171">
        <v>2279</v>
      </c>
      <c r="L98" s="171">
        <v>1049</v>
      </c>
      <c r="M98" s="16"/>
      <c r="N98" s="16"/>
      <c r="O98" s="16"/>
      <c r="P98" s="16"/>
    </row>
    <row r="99" spans="1:16" ht="17.45" customHeight="1">
      <c r="A99" s="22" t="s">
        <v>55</v>
      </c>
      <c r="B99" s="170">
        <f>26967+1209</f>
        <v>28176</v>
      </c>
      <c r="C99" s="170">
        <f>7307+398</f>
        <v>7705</v>
      </c>
      <c r="D99" s="170">
        <f>28940+1736</f>
        <v>30676</v>
      </c>
      <c r="E99" s="170">
        <f>23804+1709</f>
        <v>25513</v>
      </c>
      <c r="F99" s="170">
        <f>21420+1787</f>
        <v>23207</v>
      </c>
      <c r="G99" s="170">
        <f>48111+2038+1502</f>
        <v>51651</v>
      </c>
      <c r="H99" s="170">
        <f>17232+1522</f>
        <v>18754</v>
      </c>
      <c r="I99" s="170">
        <f>10412+1279</f>
        <v>11691</v>
      </c>
      <c r="J99" s="170">
        <f>1197+138</f>
        <v>1335</v>
      </c>
      <c r="K99" s="170">
        <f>93+23</f>
        <v>116</v>
      </c>
      <c r="L99" s="170">
        <f>24+6</f>
        <v>30</v>
      </c>
    </row>
    <row r="100" spans="1:16" ht="17.45" customHeight="1">
      <c r="A100" s="22" t="s">
        <v>95</v>
      </c>
      <c r="B100" s="170">
        <v>25456</v>
      </c>
      <c r="C100" s="170">
        <v>25310</v>
      </c>
      <c r="D100" s="170">
        <v>24372</v>
      </c>
      <c r="E100" s="170">
        <v>22651</v>
      </c>
      <c r="F100" s="170">
        <v>22230</v>
      </c>
      <c r="G100" s="170">
        <v>23031</v>
      </c>
      <c r="H100" s="170">
        <v>20427</v>
      </c>
      <c r="I100" s="170">
        <v>16919</v>
      </c>
      <c r="J100" s="170">
        <v>412</v>
      </c>
      <c r="K100" s="170">
        <v>18</v>
      </c>
      <c r="L100" s="170">
        <v>18</v>
      </c>
    </row>
    <row r="101" spans="1:16" ht="17.45" customHeight="1">
      <c r="A101" s="22" t="s">
        <v>39</v>
      </c>
      <c r="B101" s="170">
        <v>50215</v>
      </c>
      <c r="C101" s="170">
        <v>42527</v>
      </c>
      <c r="D101" s="170">
        <v>48370</v>
      </c>
      <c r="E101" s="170">
        <v>44575</v>
      </c>
      <c r="F101" s="170">
        <v>43842</v>
      </c>
      <c r="G101" s="170">
        <v>42993</v>
      </c>
      <c r="H101" s="170">
        <v>31292</v>
      </c>
      <c r="I101" s="170">
        <v>24125</v>
      </c>
      <c r="J101" s="170">
        <v>1175</v>
      </c>
      <c r="K101" s="170">
        <v>348</v>
      </c>
      <c r="L101" s="170">
        <v>160</v>
      </c>
    </row>
    <row r="102" spans="1:16" ht="17.45" customHeight="1">
      <c r="A102" s="22" t="s">
        <v>20</v>
      </c>
      <c r="B102" s="170">
        <v>76914</v>
      </c>
      <c r="C102" s="170">
        <v>75985</v>
      </c>
      <c r="D102" s="170">
        <v>73552</v>
      </c>
      <c r="E102" s="170">
        <v>64510</v>
      </c>
      <c r="F102" s="170">
        <v>62974</v>
      </c>
      <c r="G102" s="170">
        <v>66100</v>
      </c>
      <c r="H102" s="170">
        <v>55709</v>
      </c>
      <c r="I102" s="170">
        <v>44219</v>
      </c>
      <c r="J102" s="170">
        <v>2256</v>
      </c>
      <c r="K102" s="170">
        <v>379</v>
      </c>
      <c r="L102" s="170">
        <v>88</v>
      </c>
    </row>
    <row r="103" spans="1:16" ht="17.45" customHeight="1">
      <c r="A103" s="161" t="s">
        <v>181</v>
      </c>
      <c r="B103" s="171">
        <v>12798</v>
      </c>
      <c r="C103" s="171">
        <v>8751</v>
      </c>
      <c r="D103" s="171">
        <v>16365</v>
      </c>
      <c r="E103" s="171">
        <v>13320</v>
      </c>
      <c r="F103" s="171">
        <v>11737</v>
      </c>
      <c r="G103" s="171">
        <v>15217</v>
      </c>
      <c r="H103" s="171">
        <v>9248</v>
      </c>
      <c r="I103" s="171">
        <v>7077</v>
      </c>
      <c r="J103" s="171">
        <v>1478</v>
      </c>
      <c r="K103" s="171">
        <v>10</v>
      </c>
      <c r="L103" s="171" t="s">
        <v>247</v>
      </c>
      <c r="M103" s="19"/>
      <c r="N103" s="19"/>
      <c r="O103" s="19"/>
      <c r="P103" s="19"/>
    </row>
    <row r="104" spans="1:16" ht="17.45" customHeight="1">
      <c r="A104" s="161" t="s">
        <v>183</v>
      </c>
      <c r="B104" s="171">
        <v>10695</v>
      </c>
      <c r="C104" s="171">
        <v>9304</v>
      </c>
      <c r="D104" s="171">
        <v>11347</v>
      </c>
      <c r="E104" s="171">
        <v>9419</v>
      </c>
      <c r="F104" s="171">
        <v>8288</v>
      </c>
      <c r="G104" s="171">
        <v>13830</v>
      </c>
      <c r="H104" s="171">
        <v>6004</v>
      </c>
      <c r="I104" s="171">
        <v>3972</v>
      </c>
      <c r="J104" s="171">
        <v>1440</v>
      </c>
      <c r="K104" s="171">
        <v>465</v>
      </c>
      <c r="L104" s="171">
        <v>193</v>
      </c>
      <c r="M104" s="19"/>
      <c r="N104" s="19"/>
      <c r="O104" s="19"/>
      <c r="P104" s="19"/>
    </row>
    <row r="105" spans="1:16" ht="17.45" customHeight="1">
      <c r="A105" s="22" t="s">
        <v>15</v>
      </c>
      <c r="B105" s="170">
        <v>50097</v>
      </c>
      <c r="C105" s="170">
        <v>48091</v>
      </c>
      <c r="D105" s="170">
        <v>48501</v>
      </c>
      <c r="E105" s="170">
        <v>43339</v>
      </c>
      <c r="F105" s="170">
        <v>42736</v>
      </c>
      <c r="G105" s="170">
        <v>44163</v>
      </c>
      <c r="H105" s="170">
        <v>29060</v>
      </c>
      <c r="I105" s="170">
        <v>24104</v>
      </c>
      <c r="J105" s="170">
        <v>4361</v>
      </c>
      <c r="K105" s="170">
        <v>1911</v>
      </c>
      <c r="L105" s="170">
        <v>1114</v>
      </c>
    </row>
    <row r="106" spans="1:16" ht="17.45" customHeight="1">
      <c r="A106" s="161" t="s">
        <v>182</v>
      </c>
      <c r="B106" s="171">
        <v>5050</v>
      </c>
      <c r="C106" s="171">
        <v>1276</v>
      </c>
      <c r="D106" s="171">
        <v>7357</v>
      </c>
      <c r="E106" s="171">
        <v>6055</v>
      </c>
      <c r="F106" s="171">
        <v>5650</v>
      </c>
      <c r="G106" s="171">
        <v>7519</v>
      </c>
      <c r="H106" s="171">
        <v>4234</v>
      </c>
      <c r="I106" s="171">
        <v>3152</v>
      </c>
      <c r="J106" s="171">
        <v>961</v>
      </c>
      <c r="K106" s="171">
        <v>326</v>
      </c>
      <c r="L106" s="171">
        <v>229</v>
      </c>
      <c r="M106" s="19"/>
      <c r="N106" s="19"/>
      <c r="O106" s="19"/>
      <c r="P106" s="16"/>
    </row>
    <row r="107" spans="1:16" s="16" customFormat="1" ht="17.45" customHeight="1">
      <c r="A107" s="22" t="s">
        <v>13</v>
      </c>
      <c r="B107" s="172">
        <f>115564+1771</f>
        <v>117335</v>
      </c>
      <c r="C107" s="172">
        <f>108887+1430</f>
        <v>110317</v>
      </c>
      <c r="D107" s="172">
        <f>119831+1864</f>
        <v>121695</v>
      </c>
      <c r="E107" s="172">
        <f>103697+1721</f>
        <v>105418</v>
      </c>
      <c r="F107" s="172">
        <f>97957+1760</f>
        <v>99717</v>
      </c>
      <c r="G107" s="172">
        <f>103938+1721+1451</f>
        <v>107110</v>
      </c>
      <c r="H107" s="172">
        <f>62218+1085</f>
        <v>63303</v>
      </c>
      <c r="I107" s="172">
        <f>46052+871</f>
        <v>46923</v>
      </c>
      <c r="J107" s="172">
        <f>7516+222</f>
        <v>7738</v>
      </c>
      <c r="K107" s="172">
        <f>2759+42</f>
        <v>2801</v>
      </c>
      <c r="L107" s="172">
        <f>1434+6</f>
        <v>1440</v>
      </c>
      <c r="M107" s="41"/>
      <c r="N107" s="41"/>
      <c r="O107" s="41"/>
      <c r="P107" s="41"/>
    </row>
    <row r="108" spans="1:16" s="19" customFormat="1" ht="17.45" customHeight="1">
      <c r="A108" s="22" t="s">
        <v>94</v>
      </c>
      <c r="B108" s="172">
        <v>23986</v>
      </c>
      <c r="C108" s="172">
        <v>10527</v>
      </c>
      <c r="D108" s="172">
        <v>23621</v>
      </c>
      <c r="E108" s="172">
        <v>20941</v>
      </c>
      <c r="F108" s="172">
        <v>20374</v>
      </c>
      <c r="G108" s="172">
        <v>20925</v>
      </c>
      <c r="H108" s="172">
        <v>13000</v>
      </c>
      <c r="I108" s="172">
        <v>8265</v>
      </c>
      <c r="J108" s="172">
        <v>1155</v>
      </c>
      <c r="K108" s="172">
        <v>159</v>
      </c>
      <c r="L108" s="172">
        <v>72</v>
      </c>
    </row>
    <row r="109" spans="1:16" s="16" customFormat="1" ht="17.45" customHeight="1">
      <c r="A109" s="161" t="s">
        <v>184</v>
      </c>
      <c r="B109" s="173">
        <v>5371</v>
      </c>
      <c r="C109" s="173">
        <v>1735</v>
      </c>
      <c r="D109" s="173">
        <v>7547</v>
      </c>
      <c r="E109" s="173">
        <v>4871</v>
      </c>
      <c r="F109" s="173">
        <v>3672</v>
      </c>
      <c r="G109" s="173">
        <v>5570</v>
      </c>
      <c r="H109" s="173">
        <v>5125</v>
      </c>
      <c r="I109" s="173">
        <v>2267</v>
      </c>
      <c r="J109" s="173">
        <v>409</v>
      </c>
      <c r="K109" s="173">
        <v>83</v>
      </c>
      <c r="L109" s="173">
        <v>38</v>
      </c>
      <c r="M109" s="41"/>
      <c r="N109" s="41"/>
      <c r="O109" s="41"/>
      <c r="P109" s="41"/>
    </row>
    <row r="110" spans="1:16" s="19" customFormat="1" ht="17.45" customHeight="1">
      <c r="A110" s="22" t="s">
        <v>23</v>
      </c>
      <c r="B110" s="172">
        <v>54936</v>
      </c>
      <c r="C110" s="172">
        <v>54556</v>
      </c>
      <c r="D110" s="172">
        <v>51367</v>
      </c>
      <c r="E110" s="172">
        <v>46366</v>
      </c>
      <c r="F110" s="172">
        <v>45830</v>
      </c>
      <c r="G110" s="172">
        <v>48144</v>
      </c>
      <c r="H110" s="172">
        <v>32996</v>
      </c>
      <c r="I110" s="172">
        <v>27575</v>
      </c>
      <c r="J110" s="172">
        <v>3097</v>
      </c>
      <c r="K110" s="172">
        <v>891</v>
      </c>
      <c r="L110" s="172">
        <v>348</v>
      </c>
      <c r="M110" s="41"/>
      <c r="N110" s="41"/>
      <c r="O110" s="41"/>
      <c r="P110" s="41"/>
    </row>
    <row r="111" spans="1:16" s="19" customFormat="1" ht="17.45" customHeight="1">
      <c r="A111" s="22" t="s">
        <v>71</v>
      </c>
      <c r="B111" s="172">
        <v>76285</v>
      </c>
      <c r="C111" s="172">
        <v>75327</v>
      </c>
      <c r="D111" s="172">
        <v>74484</v>
      </c>
      <c r="E111" s="172">
        <v>70379</v>
      </c>
      <c r="F111" s="172">
        <v>70201</v>
      </c>
      <c r="G111" s="172">
        <v>66509</v>
      </c>
      <c r="H111" s="172">
        <v>58720</v>
      </c>
      <c r="I111" s="172">
        <v>52219</v>
      </c>
      <c r="J111" s="172">
        <v>333</v>
      </c>
      <c r="K111" s="172">
        <v>16</v>
      </c>
      <c r="L111" s="172">
        <v>3</v>
      </c>
      <c r="M111" s="41"/>
      <c r="N111" s="41"/>
      <c r="O111" s="41"/>
      <c r="P111" s="41"/>
    </row>
    <row r="112" spans="1:16" s="19" customFormat="1" ht="17.45" customHeight="1">
      <c r="A112" s="22" t="s">
        <v>51</v>
      </c>
      <c r="B112" s="172">
        <f>13794+2390</f>
        <v>16184</v>
      </c>
      <c r="C112" s="172">
        <f>7700+407</f>
        <v>8107</v>
      </c>
      <c r="D112" s="172">
        <f>13078+2386</f>
        <v>15464</v>
      </c>
      <c r="E112" s="172">
        <f>11272+2124</f>
        <v>13396</v>
      </c>
      <c r="F112" s="172">
        <f>11010+2093</f>
        <v>13103</v>
      </c>
      <c r="G112" s="172">
        <f>12004+2032+1421</f>
        <v>15457</v>
      </c>
      <c r="H112" s="172">
        <f>9394+1943</f>
        <v>11337</v>
      </c>
      <c r="I112" s="172">
        <f>6934+1462</f>
        <v>8396</v>
      </c>
      <c r="J112" s="172">
        <f>1058+283</f>
        <v>1341</v>
      </c>
      <c r="K112" s="172">
        <f>414+75</f>
        <v>489</v>
      </c>
      <c r="L112" s="172">
        <f>97+20</f>
        <v>117</v>
      </c>
      <c r="M112" s="41"/>
      <c r="N112" s="41"/>
      <c r="O112" s="41"/>
      <c r="P112" s="41"/>
    </row>
    <row r="113" spans="1:16" s="19" customFormat="1" ht="17.45" customHeight="1">
      <c r="A113" s="22" t="s">
        <v>147</v>
      </c>
      <c r="B113" s="172">
        <v>5261</v>
      </c>
      <c r="C113" s="172">
        <v>820</v>
      </c>
      <c r="D113" s="172">
        <v>5282</v>
      </c>
      <c r="E113" s="172">
        <v>4574</v>
      </c>
      <c r="F113" s="172">
        <v>4262</v>
      </c>
      <c r="G113" s="172">
        <v>3930</v>
      </c>
      <c r="H113" s="172">
        <v>643</v>
      </c>
      <c r="I113" s="172">
        <v>317</v>
      </c>
      <c r="J113" s="172">
        <v>58</v>
      </c>
      <c r="K113" s="172">
        <v>13</v>
      </c>
      <c r="L113" s="172">
        <v>4</v>
      </c>
      <c r="M113" s="41"/>
      <c r="N113" s="41"/>
      <c r="O113" s="41"/>
      <c r="P113" s="41"/>
    </row>
    <row r="114" spans="1:16" s="27" customFormat="1" ht="13.15" customHeight="1">
      <c r="A114" s="28" t="s">
        <v>276</v>
      </c>
      <c r="B114" s="174"/>
      <c r="C114" s="44"/>
      <c r="D114" s="44"/>
      <c r="E114" s="44"/>
      <c r="F114" s="44"/>
      <c r="G114" s="44"/>
      <c r="H114" s="44"/>
      <c r="I114" s="44"/>
      <c r="J114" s="44"/>
      <c r="K114" s="44"/>
    </row>
    <row r="115" spans="1:16" s="27" customFormat="1" ht="13.15" customHeight="1">
      <c r="L115" s="30" t="s">
        <v>287</v>
      </c>
    </row>
  </sheetData>
  <sortState ref="A6:P37">
    <sortCondition ref="A6:A37"/>
  </sortState>
  <mergeCells count="24">
    <mergeCell ref="A77:L77"/>
    <mergeCell ref="K78:L78"/>
    <mergeCell ref="A79:A80"/>
    <mergeCell ref="B79:B80"/>
    <mergeCell ref="C79:C80"/>
    <mergeCell ref="D79:F79"/>
    <mergeCell ref="G79:G80"/>
    <mergeCell ref="H79:L79"/>
    <mergeCell ref="A1:L1"/>
    <mergeCell ref="K2:L2"/>
    <mergeCell ref="A3:A4"/>
    <mergeCell ref="B3:B4"/>
    <mergeCell ref="C3:C4"/>
    <mergeCell ref="D3:F3"/>
    <mergeCell ref="G3:G4"/>
    <mergeCell ref="H3:L3"/>
    <mergeCell ref="A39:L39"/>
    <mergeCell ref="K40:L40"/>
    <mergeCell ref="A41:A42"/>
    <mergeCell ref="B41:B42"/>
    <mergeCell ref="C41:C42"/>
    <mergeCell ref="D41:F41"/>
    <mergeCell ref="G41:G42"/>
    <mergeCell ref="H41:L41"/>
  </mergeCells>
  <printOptions horizontalCentered="1"/>
  <pageMargins left="0.62992125984252001" right="0.44685039399999998" top="0.98425196850393704" bottom="0.98425196850393704" header="0.511811023622047" footer="0.511811023622047"/>
  <pageSetup paperSize="9" firstPageNumber="167" orientation="portrait" r:id="rId1"/>
  <headerFooter alignWithMargins="0">
    <oddHeader>&amp;C&amp;P</oddHeader>
  </headerFooter>
  <rowBreaks count="2" manualBreakCount="2">
    <brk id="38" max="11" man="1"/>
    <brk id="76" max="11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14"/>
  <sheetViews>
    <sheetView view="pageBreakPreview" topLeftCell="A85" zoomScaleSheetLayoutView="100" workbookViewId="0">
      <selection activeCell="I12" sqref="I12"/>
    </sheetView>
  </sheetViews>
  <sheetFormatPr defaultColWidth="9.140625" defaultRowHeight="12.75"/>
  <cols>
    <col min="1" max="4" width="21.28515625" style="75" customWidth="1"/>
    <col min="5" max="16384" width="9.140625" style="75"/>
  </cols>
  <sheetData>
    <row r="1" spans="1:4" ht="60" customHeight="1">
      <c r="A1" s="287" t="s">
        <v>142</v>
      </c>
      <c r="B1" s="287"/>
      <c r="C1" s="287"/>
      <c r="D1" s="287"/>
    </row>
    <row r="2" spans="1:4" s="56" customFormat="1" ht="12.95" customHeight="1">
      <c r="A2" s="56" t="s">
        <v>266</v>
      </c>
      <c r="D2" s="258" t="s">
        <v>89</v>
      </c>
    </row>
    <row r="3" spans="1:4" ht="25.5" customHeight="1">
      <c r="A3" s="286" t="s">
        <v>91</v>
      </c>
      <c r="B3" s="293">
        <v>2018</v>
      </c>
      <c r="C3" s="293"/>
      <c r="D3" s="293"/>
    </row>
    <row r="4" spans="1:4" ht="25.5" customHeight="1">
      <c r="A4" s="286"/>
      <c r="B4" s="178" t="s">
        <v>125</v>
      </c>
      <c r="C4" s="178" t="s">
        <v>126</v>
      </c>
      <c r="D4" s="178" t="s">
        <v>127</v>
      </c>
    </row>
    <row r="5" spans="1:4" ht="18" customHeight="1">
      <c r="A5" s="101" t="s">
        <v>137</v>
      </c>
      <c r="B5" s="107">
        <f>SUM(B6:B37)</f>
        <v>1552750</v>
      </c>
      <c r="C5" s="107">
        <f t="shared" ref="C5:D5" si="0">SUM(C6:C37)</f>
        <v>194696</v>
      </c>
      <c r="D5" s="107">
        <f t="shared" si="0"/>
        <v>194696</v>
      </c>
    </row>
    <row r="6" spans="1:4" s="179" customFormat="1" ht="18" customHeight="1">
      <c r="A6" s="103" t="s">
        <v>34</v>
      </c>
      <c r="B6" s="108">
        <v>2037</v>
      </c>
      <c r="C6" s="108">
        <v>4</v>
      </c>
      <c r="D6" s="108">
        <v>4</v>
      </c>
    </row>
    <row r="7" spans="1:4" s="179" customFormat="1" ht="18" customHeight="1">
      <c r="A7" s="85" t="s">
        <v>178</v>
      </c>
      <c r="B7" s="108">
        <v>48893</v>
      </c>
      <c r="C7" s="108">
        <v>6363</v>
      </c>
      <c r="D7" s="108">
        <v>6363</v>
      </c>
    </row>
    <row r="8" spans="1:4" s="179" customFormat="1" ht="18" customHeight="1">
      <c r="A8" s="103" t="s">
        <v>53</v>
      </c>
      <c r="B8" s="108">
        <f>79190+32660</f>
        <v>111850</v>
      </c>
      <c r="C8" s="108">
        <f>6207+4131</f>
        <v>10338</v>
      </c>
      <c r="D8" s="108">
        <f>6207+4131</f>
        <v>10338</v>
      </c>
    </row>
    <row r="9" spans="1:4" s="179" customFormat="1" ht="18" customHeight="1">
      <c r="A9" s="103" t="s">
        <v>44</v>
      </c>
      <c r="B9" s="108">
        <v>2939</v>
      </c>
      <c r="C9" s="108">
        <v>16</v>
      </c>
      <c r="D9" s="108">
        <v>16</v>
      </c>
    </row>
    <row r="10" spans="1:4" s="179" customFormat="1" ht="18" customHeight="1">
      <c r="A10" s="103" t="s">
        <v>80</v>
      </c>
      <c r="B10" s="108">
        <v>61946</v>
      </c>
      <c r="C10" s="108">
        <v>8774</v>
      </c>
      <c r="D10" s="108">
        <v>8774</v>
      </c>
    </row>
    <row r="11" spans="1:4" s="179" customFormat="1" ht="18" customHeight="1">
      <c r="A11" s="103" t="s">
        <v>17</v>
      </c>
      <c r="B11" s="108">
        <v>117495</v>
      </c>
      <c r="C11" s="108">
        <v>7680</v>
      </c>
      <c r="D11" s="108">
        <v>7680</v>
      </c>
    </row>
    <row r="12" spans="1:4" s="179" customFormat="1" ht="18" customHeight="1">
      <c r="A12" s="103" t="s">
        <v>93</v>
      </c>
      <c r="B12" s="108">
        <v>4348</v>
      </c>
      <c r="C12" s="108">
        <v>395</v>
      </c>
      <c r="D12" s="108">
        <v>395</v>
      </c>
    </row>
    <row r="13" spans="1:4" s="179" customFormat="1" ht="18" customHeight="1">
      <c r="A13" s="103" t="s">
        <v>57</v>
      </c>
      <c r="B13" s="108">
        <f>93420+18581</f>
        <v>112001</v>
      </c>
      <c r="C13" s="108">
        <f>12149+3124</f>
        <v>15273</v>
      </c>
      <c r="D13" s="108">
        <f>12149+3124</f>
        <v>15273</v>
      </c>
    </row>
    <row r="14" spans="1:4" s="179" customFormat="1" ht="18" customHeight="1">
      <c r="A14" s="103" t="s">
        <v>162</v>
      </c>
      <c r="B14" s="108">
        <v>72922</v>
      </c>
      <c r="C14" s="108">
        <v>14349</v>
      </c>
      <c r="D14" s="108">
        <v>14349</v>
      </c>
    </row>
    <row r="15" spans="1:4" s="179" customFormat="1" ht="18" customHeight="1">
      <c r="A15" s="103" t="s">
        <v>163</v>
      </c>
      <c r="B15" s="108">
        <v>26741</v>
      </c>
      <c r="C15" s="108">
        <v>1369</v>
      </c>
      <c r="D15" s="108">
        <v>1369</v>
      </c>
    </row>
    <row r="16" spans="1:4" s="179" customFormat="1" ht="18" customHeight="1">
      <c r="A16" s="103" t="s">
        <v>28</v>
      </c>
      <c r="B16" s="108">
        <v>29958</v>
      </c>
      <c r="C16" s="108">
        <v>2706</v>
      </c>
      <c r="D16" s="108">
        <v>2706</v>
      </c>
    </row>
    <row r="17" spans="1:4" s="179" customFormat="1" ht="18" customHeight="1">
      <c r="A17" s="103" t="s">
        <v>36</v>
      </c>
      <c r="B17" s="108">
        <v>1919</v>
      </c>
      <c r="C17" s="108">
        <v>221</v>
      </c>
      <c r="D17" s="108">
        <v>221</v>
      </c>
    </row>
    <row r="18" spans="1:4" s="179" customFormat="1" ht="18" customHeight="1">
      <c r="A18" s="103" t="s">
        <v>30</v>
      </c>
      <c r="B18" s="108">
        <v>45209</v>
      </c>
      <c r="C18" s="108">
        <v>3976</v>
      </c>
      <c r="D18" s="108">
        <v>3976</v>
      </c>
    </row>
    <row r="19" spans="1:4" s="179" customFormat="1" ht="18" customHeight="1">
      <c r="A19" s="85" t="s">
        <v>179</v>
      </c>
      <c r="B19" s="108">
        <v>93125</v>
      </c>
      <c r="C19" s="108">
        <v>20631</v>
      </c>
      <c r="D19" s="108">
        <v>20631</v>
      </c>
    </row>
    <row r="20" spans="1:4" s="179" customFormat="1" ht="18" customHeight="1">
      <c r="A20" s="103" t="s">
        <v>26</v>
      </c>
      <c r="B20" s="108">
        <f>49799+29946</f>
        <v>79745</v>
      </c>
      <c r="C20" s="108">
        <f>3748+4282</f>
        <v>8030</v>
      </c>
      <c r="D20" s="108">
        <f>3748+4282</f>
        <v>8030</v>
      </c>
    </row>
    <row r="21" spans="1:4" s="179" customFormat="1" ht="18" customHeight="1">
      <c r="A21" s="103" t="s">
        <v>92</v>
      </c>
      <c r="B21" s="108" t="s">
        <v>247</v>
      </c>
      <c r="C21" s="108" t="s">
        <v>247</v>
      </c>
      <c r="D21" s="108" t="s">
        <v>247</v>
      </c>
    </row>
    <row r="22" spans="1:4" s="179" customFormat="1" ht="18" customHeight="1">
      <c r="A22" s="85" t="s">
        <v>180</v>
      </c>
      <c r="B22" s="108">
        <v>37184</v>
      </c>
      <c r="C22" s="108">
        <v>4486</v>
      </c>
      <c r="D22" s="108">
        <v>4486</v>
      </c>
    </row>
    <row r="23" spans="1:4" s="179" customFormat="1" ht="18" customHeight="1">
      <c r="A23" s="103" t="s">
        <v>55</v>
      </c>
      <c r="B23" s="108">
        <f>82285+28275</f>
        <v>110560</v>
      </c>
      <c r="C23" s="108">
        <f>9238+3479</f>
        <v>12717</v>
      </c>
      <c r="D23" s="108">
        <f>9238+3479</f>
        <v>12717</v>
      </c>
    </row>
    <row r="24" spans="1:4" s="179" customFormat="1" ht="18" customHeight="1">
      <c r="A24" s="103" t="s">
        <v>95</v>
      </c>
      <c r="B24" s="108">
        <v>19831</v>
      </c>
      <c r="C24" s="108">
        <v>402</v>
      </c>
      <c r="D24" s="108">
        <v>402</v>
      </c>
    </row>
    <row r="25" spans="1:4" s="179" customFormat="1" ht="18" customHeight="1">
      <c r="A25" s="103" t="s">
        <v>39</v>
      </c>
      <c r="B25" s="108">
        <v>2131</v>
      </c>
      <c r="C25" s="108">
        <v>11</v>
      </c>
      <c r="D25" s="108">
        <v>11</v>
      </c>
    </row>
    <row r="26" spans="1:4" s="179" customFormat="1" ht="18" customHeight="1">
      <c r="A26" s="103" t="s">
        <v>20</v>
      </c>
      <c r="B26" s="108">
        <v>117524</v>
      </c>
      <c r="C26" s="108">
        <v>16963</v>
      </c>
      <c r="D26" s="108">
        <v>16963</v>
      </c>
    </row>
    <row r="27" spans="1:4" s="179" customFormat="1" ht="18" customHeight="1">
      <c r="A27" s="85" t="s">
        <v>181</v>
      </c>
      <c r="B27" s="108">
        <v>48911</v>
      </c>
      <c r="C27" s="108">
        <v>6981</v>
      </c>
      <c r="D27" s="108">
        <v>6981</v>
      </c>
    </row>
    <row r="28" spans="1:4" s="179" customFormat="1" ht="18" customHeight="1">
      <c r="A28" s="85" t="s">
        <v>183</v>
      </c>
      <c r="B28" s="108">
        <v>39594</v>
      </c>
      <c r="C28" s="108">
        <v>7373</v>
      </c>
      <c r="D28" s="108">
        <v>7373</v>
      </c>
    </row>
    <row r="29" spans="1:4" s="179" customFormat="1" ht="18" customHeight="1">
      <c r="A29" s="103" t="s">
        <v>15</v>
      </c>
      <c r="B29" s="108">
        <v>65773</v>
      </c>
      <c r="C29" s="108">
        <v>7601</v>
      </c>
      <c r="D29" s="108">
        <v>7601</v>
      </c>
    </row>
    <row r="30" spans="1:4" s="179" customFormat="1" ht="18" customHeight="1">
      <c r="A30" s="85" t="s">
        <v>182</v>
      </c>
      <c r="B30" s="108">
        <v>33287</v>
      </c>
      <c r="C30" s="108">
        <v>2371</v>
      </c>
      <c r="D30" s="108">
        <v>2371</v>
      </c>
    </row>
    <row r="31" spans="1:4" s="180" customFormat="1" ht="18" customHeight="1">
      <c r="A31" s="103" t="s">
        <v>13</v>
      </c>
      <c r="B31" s="108">
        <f>20481+18967</f>
        <v>39448</v>
      </c>
      <c r="C31" s="108">
        <f>2365+1943</f>
        <v>4308</v>
      </c>
      <c r="D31" s="108">
        <f>2365+1943</f>
        <v>4308</v>
      </c>
    </row>
    <row r="32" spans="1:4" s="180" customFormat="1" ht="18" customHeight="1">
      <c r="A32" s="85" t="s">
        <v>184</v>
      </c>
      <c r="B32" s="108">
        <v>49130</v>
      </c>
      <c r="C32" s="108">
        <v>12855</v>
      </c>
      <c r="D32" s="108">
        <v>12855</v>
      </c>
    </row>
    <row r="33" spans="1:4" s="180" customFormat="1" ht="18" customHeight="1">
      <c r="A33" s="103" t="s">
        <v>94</v>
      </c>
      <c r="B33" s="108">
        <v>32027</v>
      </c>
      <c r="C33" s="108">
        <v>4266</v>
      </c>
      <c r="D33" s="108">
        <v>4266</v>
      </c>
    </row>
    <row r="34" spans="1:4" s="180" customFormat="1" ht="18" customHeight="1">
      <c r="A34" s="103" t="s">
        <v>23</v>
      </c>
      <c r="B34" s="108">
        <v>18741</v>
      </c>
      <c r="C34" s="108">
        <v>1568</v>
      </c>
      <c r="D34" s="108">
        <v>1568</v>
      </c>
    </row>
    <row r="35" spans="1:4" s="180" customFormat="1" ht="18" customHeight="1">
      <c r="A35" s="103" t="s">
        <v>71</v>
      </c>
      <c r="B35" s="108">
        <v>51430</v>
      </c>
      <c r="C35" s="108">
        <v>4938</v>
      </c>
      <c r="D35" s="108">
        <v>4938</v>
      </c>
    </row>
    <row r="36" spans="1:4" s="180" customFormat="1" ht="18" customHeight="1">
      <c r="A36" s="103" t="s">
        <v>51</v>
      </c>
      <c r="B36" s="108">
        <f>51073+24978</f>
        <v>76051</v>
      </c>
      <c r="C36" s="108">
        <f>4696+3035</f>
        <v>7731</v>
      </c>
      <c r="D36" s="108">
        <f>4696+3035</f>
        <v>7731</v>
      </c>
    </row>
    <row r="37" spans="1:4" s="180" customFormat="1" ht="18" customHeight="1">
      <c r="A37" s="103" t="s">
        <v>147</v>
      </c>
      <c r="B37" s="108" t="s">
        <v>247</v>
      </c>
      <c r="C37" s="108" t="s">
        <v>247</v>
      </c>
      <c r="D37" s="108" t="s">
        <v>247</v>
      </c>
    </row>
    <row r="38" spans="1:4" ht="13.15" customHeight="1">
      <c r="A38" s="76"/>
      <c r="D38" s="259" t="s">
        <v>90</v>
      </c>
    </row>
    <row r="39" spans="1:4" ht="60" customHeight="1">
      <c r="A39" s="287" t="s">
        <v>142</v>
      </c>
      <c r="B39" s="287"/>
      <c r="C39" s="287"/>
      <c r="D39" s="287"/>
    </row>
    <row r="40" spans="1:4" s="56" customFormat="1" ht="12.95" customHeight="1">
      <c r="A40" s="56" t="s">
        <v>266</v>
      </c>
      <c r="D40" s="258" t="s">
        <v>89</v>
      </c>
    </row>
    <row r="41" spans="1:4" ht="25.5" customHeight="1">
      <c r="A41" s="286" t="s">
        <v>91</v>
      </c>
      <c r="B41" s="286">
        <v>2019</v>
      </c>
      <c r="C41" s="286"/>
      <c r="D41" s="286"/>
    </row>
    <row r="42" spans="1:4" ht="25.5" customHeight="1">
      <c r="A42" s="286"/>
      <c r="B42" s="177" t="s">
        <v>125</v>
      </c>
      <c r="C42" s="177" t="s">
        <v>126</v>
      </c>
      <c r="D42" s="177" t="s">
        <v>127</v>
      </c>
    </row>
    <row r="43" spans="1:4" ht="18" customHeight="1">
      <c r="A43" s="101" t="s">
        <v>137</v>
      </c>
      <c r="B43" s="107">
        <f>SUM(B44:B75)</f>
        <v>1515942</v>
      </c>
      <c r="C43" s="107">
        <f t="shared" ref="C43:D43" si="1">SUM(C44:C75)</f>
        <v>143641</v>
      </c>
      <c r="D43" s="107">
        <f t="shared" si="1"/>
        <v>143641</v>
      </c>
    </row>
    <row r="44" spans="1:4" ht="18" customHeight="1">
      <c r="A44" s="103" t="s">
        <v>34</v>
      </c>
      <c r="B44" s="108">
        <v>2475</v>
      </c>
      <c r="C44" s="108">
        <v>19</v>
      </c>
      <c r="D44" s="108">
        <v>19</v>
      </c>
    </row>
    <row r="45" spans="1:4" ht="18" customHeight="1">
      <c r="A45" s="85" t="s">
        <v>178</v>
      </c>
      <c r="B45" s="108">
        <v>48768</v>
      </c>
      <c r="C45" s="108">
        <v>5933</v>
      </c>
      <c r="D45" s="108">
        <v>5933</v>
      </c>
    </row>
    <row r="46" spans="1:4" ht="18" customHeight="1">
      <c r="A46" s="103" t="s">
        <v>53</v>
      </c>
      <c r="B46" s="108">
        <f>93222+24156</f>
        <v>117378</v>
      </c>
      <c r="C46" s="108">
        <f>3559+2217</f>
        <v>5776</v>
      </c>
      <c r="D46" s="108">
        <f>3559+2217</f>
        <v>5776</v>
      </c>
    </row>
    <row r="47" spans="1:4" ht="18" customHeight="1">
      <c r="A47" s="103" t="s">
        <v>44</v>
      </c>
      <c r="B47" s="108">
        <v>2783</v>
      </c>
      <c r="C47" s="108">
        <v>113</v>
      </c>
      <c r="D47" s="108">
        <v>113</v>
      </c>
    </row>
    <row r="48" spans="1:4" ht="18" customHeight="1">
      <c r="A48" s="103" t="s">
        <v>80</v>
      </c>
      <c r="B48" s="108">
        <v>57736</v>
      </c>
      <c r="C48" s="108">
        <v>7441</v>
      </c>
      <c r="D48" s="108">
        <v>7441</v>
      </c>
    </row>
    <row r="49" spans="1:4" ht="18" customHeight="1">
      <c r="A49" s="103" t="s">
        <v>17</v>
      </c>
      <c r="B49" s="108">
        <v>104470</v>
      </c>
      <c r="C49" s="108">
        <v>5751</v>
      </c>
      <c r="D49" s="108">
        <v>5751</v>
      </c>
    </row>
    <row r="50" spans="1:4" ht="18" customHeight="1">
      <c r="A50" s="103" t="s">
        <v>93</v>
      </c>
      <c r="B50" s="108">
        <v>6318</v>
      </c>
      <c r="C50" s="108">
        <v>433</v>
      </c>
      <c r="D50" s="108">
        <v>433</v>
      </c>
    </row>
    <row r="51" spans="1:4" ht="18" customHeight="1">
      <c r="A51" s="103" t="s">
        <v>57</v>
      </c>
      <c r="B51" s="108">
        <f>108849+24770</f>
        <v>133619</v>
      </c>
      <c r="C51" s="108">
        <f>9568+3484</f>
        <v>13052</v>
      </c>
      <c r="D51" s="108">
        <f>9568+3484</f>
        <v>13052</v>
      </c>
    </row>
    <row r="52" spans="1:4" ht="18" customHeight="1">
      <c r="A52" s="103" t="s">
        <v>162</v>
      </c>
      <c r="B52" s="108">
        <v>60375</v>
      </c>
      <c r="C52" s="108">
        <v>8916</v>
      </c>
      <c r="D52" s="108">
        <v>8916</v>
      </c>
    </row>
    <row r="53" spans="1:4" ht="18" customHeight="1">
      <c r="A53" s="103" t="s">
        <v>163</v>
      </c>
      <c r="B53" s="108">
        <v>19618</v>
      </c>
      <c r="C53" s="108">
        <v>416</v>
      </c>
      <c r="D53" s="108">
        <v>416</v>
      </c>
    </row>
    <row r="54" spans="1:4" ht="18" customHeight="1">
      <c r="A54" s="103" t="s">
        <v>28</v>
      </c>
      <c r="B54" s="108">
        <v>30993</v>
      </c>
      <c r="C54" s="108">
        <v>1736</v>
      </c>
      <c r="D54" s="108">
        <v>1736</v>
      </c>
    </row>
    <row r="55" spans="1:4" ht="18" customHeight="1">
      <c r="A55" s="103" t="s">
        <v>36</v>
      </c>
      <c r="B55" s="108">
        <v>2133</v>
      </c>
      <c r="C55" s="108">
        <v>158</v>
      </c>
      <c r="D55" s="108">
        <v>158</v>
      </c>
    </row>
    <row r="56" spans="1:4" ht="18" customHeight="1">
      <c r="A56" s="103" t="s">
        <v>30</v>
      </c>
      <c r="B56" s="108">
        <v>39295</v>
      </c>
      <c r="C56" s="108">
        <v>2836</v>
      </c>
      <c r="D56" s="108">
        <v>2836</v>
      </c>
    </row>
    <row r="57" spans="1:4" ht="18" customHeight="1">
      <c r="A57" s="85" t="s">
        <v>179</v>
      </c>
      <c r="B57" s="108">
        <v>81691</v>
      </c>
      <c r="C57" s="108">
        <v>13909</v>
      </c>
      <c r="D57" s="108">
        <v>13909</v>
      </c>
    </row>
    <row r="58" spans="1:4" ht="18" customHeight="1">
      <c r="A58" s="103" t="s">
        <v>26</v>
      </c>
      <c r="B58" s="108">
        <f>47237+15806</f>
        <v>63043</v>
      </c>
      <c r="C58" s="108">
        <f>1910+2100</f>
        <v>4010</v>
      </c>
      <c r="D58" s="108">
        <f>1910+2100</f>
        <v>4010</v>
      </c>
    </row>
    <row r="59" spans="1:4" ht="18" customHeight="1">
      <c r="A59" s="103" t="s">
        <v>92</v>
      </c>
      <c r="B59" s="108" t="s">
        <v>247</v>
      </c>
      <c r="C59" s="108" t="s">
        <v>247</v>
      </c>
      <c r="D59" s="108" t="s">
        <v>247</v>
      </c>
    </row>
    <row r="60" spans="1:4" ht="18" customHeight="1">
      <c r="A60" s="85" t="s">
        <v>180</v>
      </c>
      <c r="B60" s="108">
        <v>28009</v>
      </c>
      <c r="C60" s="108">
        <v>2468</v>
      </c>
      <c r="D60" s="108">
        <v>2468</v>
      </c>
    </row>
    <row r="61" spans="1:4" ht="18" customHeight="1">
      <c r="A61" s="103" t="s">
        <v>55</v>
      </c>
      <c r="B61" s="108">
        <f>85921+26806</f>
        <v>112727</v>
      </c>
      <c r="C61" s="108">
        <f>8040+2598</f>
        <v>10638</v>
      </c>
      <c r="D61" s="108">
        <f>8040+2598</f>
        <v>10638</v>
      </c>
    </row>
    <row r="62" spans="1:4" ht="18" customHeight="1">
      <c r="A62" s="103" t="s">
        <v>95</v>
      </c>
      <c r="B62" s="108">
        <v>8852</v>
      </c>
      <c r="C62" s="108">
        <v>96</v>
      </c>
      <c r="D62" s="108">
        <v>96</v>
      </c>
    </row>
    <row r="63" spans="1:4" ht="18" customHeight="1">
      <c r="A63" s="103" t="s">
        <v>39</v>
      </c>
      <c r="B63" s="108">
        <v>1264</v>
      </c>
      <c r="C63" s="108">
        <v>13</v>
      </c>
      <c r="D63" s="108">
        <v>13</v>
      </c>
    </row>
    <row r="64" spans="1:4" ht="18" customHeight="1">
      <c r="A64" s="103" t="s">
        <v>20</v>
      </c>
      <c r="B64" s="108">
        <v>135603</v>
      </c>
      <c r="C64" s="108">
        <v>10369</v>
      </c>
      <c r="D64" s="108">
        <v>10369</v>
      </c>
    </row>
    <row r="65" spans="1:4" ht="18" customHeight="1">
      <c r="A65" s="85" t="s">
        <v>181</v>
      </c>
      <c r="B65" s="108">
        <v>38623</v>
      </c>
      <c r="C65" s="108">
        <v>5545</v>
      </c>
      <c r="D65" s="108">
        <v>5545</v>
      </c>
    </row>
    <row r="66" spans="1:4" ht="18" customHeight="1">
      <c r="A66" s="85" t="s">
        <v>183</v>
      </c>
      <c r="B66" s="108">
        <v>43405</v>
      </c>
      <c r="C66" s="108">
        <v>6608</v>
      </c>
      <c r="D66" s="108">
        <v>6608</v>
      </c>
    </row>
    <row r="67" spans="1:4" ht="18" customHeight="1">
      <c r="A67" s="103" t="s">
        <v>15</v>
      </c>
      <c r="B67" s="108">
        <v>78970</v>
      </c>
      <c r="C67" s="108">
        <v>5831</v>
      </c>
      <c r="D67" s="108">
        <v>5831</v>
      </c>
    </row>
    <row r="68" spans="1:4" ht="18" customHeight="1">
      <c r="A68" s="85" t="s">
        <v>182</v>
      </c>
      <c r="B68" s="108">
        <v>29572</v>
      </c>
      <c r="C68" s="108">
        <v>2703</v>
      </c>
      <c r="D68" s="108">
        <v>2703</v>
      </c>
    </row>
    <row r="69" spans="1:4" ht="18" customHeight="1">
      <c r="A69" s="103" t="s">
        <v>13</v>
      </c>
      <c r="B69" s="108">
        <f>7710+13554</f>
        <v>21264</v>
      </c>
      <c r="C69" s="108">
        <f>1600+864</f>
        <v>2464</v>
      </c>
      <c r="D69" s="108">
        <f>1600+864</f>
        <v>2464</v>
      </c>
    </row>
    <row r="70" spans="1:4" ht="18" customHeight="1">
      <c r="A70" s="85" t="s">
        <v>184</v>
      </c>
      <c r="B70" s="108">
        <v>47937</v>
      </c>
      <c r="C70" s="108">
        <v>11321</v>
      </c>
      <c r="D70" s="108">
        <v>11321</v>
      </c>
    </row>
    <row r="71" spans="1:4" ht="18" customHeight="1">
      <c r="A71" s="103" t="s">
        <v>94</v>
      </c>
      <c r="B71" s="108">
        <v>42789</v>
      </c>
      <c r="C71" s="108">
        <v>4481</v>
      </c>
      <c r="D71" s="108">
        <v>4481</v>
      </c>
    </row>
    <row r="72" spans="1:4" ht="18" customHeight="1">
      <c r="A72" s="103" t="s">
        <v>23</v>
      </c>
      <c r="B72" s="108">
        <v>13448</v>
      </c>
      <c r="C72" s="108">
        <v>854</v>
      </c>
      <c r="D72" s="108">
        <v>854</v>
      </c>
    </row>
    <row r="73" spans="1:4" ht="18" customHeight="1">
      <c r="A73" s="103" t="s">
        <v>71</v>
      </c>
      <c r="B73" s="108">
        <v>60907</v>
      </c>
      <c r="C73" s="108">
        <v>3124</v>
      </c>
      <c r="D73" s="108">
        <v>3124</v>
      </c>
    </row>
    <row r="74" spans="1:4" ht="18" customHeight="1">
      <c r="A74" s="103" t="s">
        <v>51</v>
      </c>
      <c r="B74" s="108">
        <f>56737+25140</f>
        <v>81877</v>
      </c>
      <c r="C74" s="108">
        <f>4196+2431</f>
        <v>6627</v>
      </c>
      <c r="D74" s="108">
        <f>4196+2431</f>
        <v>6627</v>
      </c>
    </row>
    <row r="75" spans="1:4" ht="18" customHeight="1">
      <c r="A75" s="103" t="s">
        <v>147</v>
      </c>
      <c r="B75" s="108" t="s">
        <v>247</v>
      </c>
      <c r="C75" s="108" t="s">
        <v>247</v>
      </c>
      <c r="D75" s="108" t="s">
        <v>247</v>
      </c>
    </row>
    <row r="76" spans="1:4">
      <c r="D76" s="259" t="s">
        <v>90</v>
      </c>
    </row>
    <row r="77" spans="1:4" ht="60" customHeight="1">
      <c r="A77" s="287" t="s">
        <v>142</v>
      </c>
      <c r="B77" s="287"/>
      <c r="C77" s="287"/>
      <c r="D77" s="287"/>
    </row>
    <row r="78" spans="1:4" s="56" customFormat="1" ht="12.95" customHeight="1">
      <c r="A78" s="56" t="s">
        <v>266</v>
      </c>
      <c r="D78" s="258" t="s">
        <v>89</v>
      </c>
    </row>
    <row r="79" spans="1:4" ht="25.5" customHeight="1">
      <c r="A79" s="286" t="s">
        <v>91</v>
      </c>
      <c r="B79" s="286">
        <v>2020</v>
      </c>
      <c r="C79" s="286"/>
      <c r="D79" s="286"/>
    </row>
    <row r="80" spans="1:4" ht="25.5" customHeight="1">
      <c r="A80" s="286"/>
      <c r="B80" s="177" t="s">
        <v>125</v>
      </c>
      <c r="C80" s="177" t="s">
        <v>126</v>
      </c>
      <c r="D80" s="177" t="s">
        <v>127</v>
      </c>
    </row>
    <row r="81" spans="1:4" ht="18" customHeight="1">
      <c r="A81" s="101" t="s">
        <v>137</v>
      </c>
      <c r="B81" s="109">
        <f>SUM(B82:B113)</f>
        <v>1309318</v>
      </c>
      <c r="C81" s="109">
        <f t="shared" ref="C81:D81" si="2">SUM(C82:C113)</f>
        <v>82338</v>
      </c>
      <c r="D81" s="109">
        <f t="shared" si="2"/>
        <v>82338</v>
      </c>
    </row>
    <row r="82" spans="1:4" ht="18" customHeight="1">
      <c r="A82" s="103" t="s">
        <v>34</v>
      </c>
      <c r="B82" s="110">
        <v>894</v>
      </c>
      <c r="C82" s="110">
        <v>1</v>
      </c>
      <c r="D82" s="110">
        <v>1</v>
      </c>
    </row>
    <row r="83" spans="1:4" ht="18" customHeight="1">
      <c r="A83" s="85" t="s">
        <v>178</v>
      </c>
      <c r="B83" s="111">
        <v>37879</v>
      </c>
      <c r="C83" s="111">
        <v>3454</v>
      </c>
      <c r="D83" s="111">
        <v>3454</v>
      </c>
    </row>
    <row r="84" spans="1:4" ht="18" customHeight="1">
      <c r="A84" s="103" t="s">
        <v>53</v>
      </c>
      <c r="B84" s="110">
        <f>95535+19868</f>
        <v>115403</v>
      </c>
      <c r="C84" s="110">
        <f>2250+1439</f>
        <v>3689</v>
      </c>
      <c r="D84" s="110">
        <f>2250+1439</f>
        <v>3689</v>
      </c>
    </row>
    <row r="85" spans="1:4" ht="18" customHeight="1">
      <c r="A85" s="103" t="s">
        <v>44</v>
      </c>
      <c r="B85" s="110">
        <v>406</v>
      </c>
      <c r="C85" s="110">
        <v>2</v>
      </c>
      <c r="D85" s="110">
        <v>2</v>
      </c>
    </row>
    <row r="86" spans="1:4" ht="18" customHeight="1">
      <c r="A86" s="103" t="s">
        <v>80</v>
      </c>
      <c r="B86" s="110">
        <v>34717</v>
      </c>
      <c r="C86" s="110">
        <v>3013</v>
      </c>
      <c r="D86" s="110">
        <v>3013</v>
      </c>
    </row>
    <row r="87" spans="1:4" ht="18" customHeight="1">
      <c r="A87" s="103" t="s">
        <v>17</v>
      </c>
      <c r="B87" s="110">
        <v>112136</v>
      </c>
      <c r="C87" s="110">
        <v>2299</v>
      </c>
      <c r="D87" s="110">
        <v>2299</v>
      </c>
    </row>
    <row r="88" spans="1:4" ht="18" customHeight="1">
      <c r="A88" s="103" t="s">
        <v>93</v>
      </c>
      <c r="B88" s="110">
        <v>1730</v>
      </c>
      <c r="C88" s="110">
        <v>205</v>
      </c>
      <c r="D88" s="110">
        <v>205</v>
      </c>
    </row>
    <row r="89" spans="1:4" ht="18" customHeight="1">
      <c r="A89" s="103" t="s">
        <v>57</v>
      </c>
      <c r="B89" s="110">
        <f>91805+24597</f>
        <v>116402</v>
      </c>
      <c r="C89" s="110">
        <f>5703+3489</f>
        <v>9192</v>
      </c>
      <c r="D89" s="110">
        <f>5703+3489</f>
        <v>9192</v>
      </c>
    </row>
    <row r="90" spans="1:4" ht="18" customHeight="1">
      <c r="A90" s="103" t="s">
        <v>162</v>
      </c>
      <c r="B90" s="110">
        <v>38587</v>
      </c>
      <c r="C90" s="110">
        <v>2244</v>
      </c>
      <c r="D90" s="110">
        <v>2244</v>
      </c>
    </row>
    <row r="91" spans="1:4" ht="18" customHeight="1">
      <c r="A91" s="103" t="s">
        <v>163</v>
      </c>
      <c r="B91" s="110">
        <v>19336</v>
      </c>
      <c r="C91" s="110">
        <v>312</v>
      </c>
      <c r="D91" s="110">
        <v>312</v>
      </c>
    </row>
    <row r="92" spans="1:4" ht="18" customHeight="1">
      <c r="A92" s="103" t="s">
        <v>28</v>
      </c>
      <c r="B92" s="110">
        <v>30171</v>
      </c>
      <c r="C92" s="110">
        <v>892</v>
      </c>
      <c r="D92" s="110">
        <v>892</v>
      </c>
    </row>
    <row r="93" spans="1:4" ht="18" customHeight="1">
      <c r="A93" s="103" t="s">
        <v>36</v>
      </c>
      <c r="B93" s="110">
        <v>1177</v>
      </c>
      <c r="C93" s="110">
        <v>91</v>
      </c>
      <c r="D93" s="110">
        <v>91</v>
      </c>
    </row>
    <row r="94" spans="1:4" ht="18" customHeight="1">
      <c r="A94" s="103" t="s">
        <v>30</v>
      </c>
      <c r="B94" s="110">
        <v>31792</v>
      </c>
      <c r="C94" s="110">
        <v>2003</v>
      </c>
      <c r="D94" s="110">
        <v>2003</v>
      </c>
    </row>
    <row r="95" spans="1:4" ht="18" customHeight="1">
      <c r="A95" s="85" t="s">
        <v>179</v>
      </c>
      <c r="B95" s="111">
        <v>77769</v>
      </c>
      <c r="C95" s="111">
        <v>9230</v>
      </c>
      <c r="D95" s="111">
        <v>9230</v>
      </c>
    </row>
    <row r="96" spans="1:4" ht="18" customHeight="1">
      <c r="A96" s="103" t="s">
        <v>26</v>
      </c>
      <c r="B96" s="110">
        <f>36238+13412</f>
        <v>49650</v>
      </c>
      <c r="C96" s="110">
        <f>1202+1375</f>
        <v>2577</v>
      </c>
      <c r="D96" s="110">
        <f>1202+1375</f>
        <v>2577</v>
      </c>
    </row>
    <row r="97" spans="1:4" ht="18" customHeight="1">
      <c r="A97" s="103" t="s">
        <v>92</v>
      </c>
      <c r="B97" s="108" t="s">
        <v>247</v>
      </c>
      <c r="C97" s="108" t="s">
        <v>247</v>
      </c>
      <c r="D97" s="108" t="s">
        <v>247</v>
      </c>
    </row>
    <row r="98" spans="1:4" ht="18" customHeight="1">
      <c r="A98" s="85" t="s">
        <v>180</v>
      </c>
      <c r="B98" s="111">
        <v>34152</v>
      </c>
      <c r="C98" s="111">
        <v>2849</v>
      </c>
      <c r="D98" s="111">
        <v>2849</v>
      </c>
    </row>
    <row r="99" spans="1:4" ht="18" customHeight="1">
      <c r="A99" s="103" t="s">
        <v>55</v>
      </c>
      <c r="B99" s="110">
        <f>79930+25122</f>
        <v>105052</v>
      </c>
      <c r="C99" s="110">
        <f>5906+2405</f>
        <v>8311</v>
      </c>
      <c r="D99" s="110">
        <f>5906+2405</f>
        <v>8311</v>
      </c>
    </row>
    <row r="100" spans="1:4" ht="18" customHeight="1">
      <c r="A100" s="103" t="s">
        <v>95</v>
      </c>
      <c r="B100" s="110">
        <v>5072</v>
      </c>
      <c r="C100" s="110">
        <v>59</v>
      </c>
      <c r="D100" s="110">
        <v>59</v>
      </c>
    </row>
    <row r="101" spans="1:4" ht="18" customHeight="1">
      <c r="A101" s="103" t="s">
        <v>39</v>
      </c>
      <c r="B101" s="110">
        <v>429</v>
      </c>
      <c r="C101" s="110">
        <v>5</v>
      </c>
      <c r="D101" s="110">
        <v>5</v>
      </c>
    </row>
    <row r="102" spans="1:4" ht="18" customHeight="1">
      <c r="A102" s="103" t="s">
        <v>20</v>
      </c>
      <c r="B102" s="110">
        <v>108082</v>
      </c>
      <c r="C102" s="110">
        <v>2151</v>
      </c>
      <c r="D102" s="110">
        <v>2151</v>
      </c>
    </row>
    <row r="103" spans="1:4" ht="18" customHeight="1">
      <c r="A103" s="85" t="s">
        <v>181</v>
      </c>
      <c r="B103" s="111">
        <v>45401</v>
      </c>
      <c r="C103" s="111">
        <v>5190</v>
      </c>
      <c r="D103" s="111">
        <v>5190</v>
      </c>
    </row>
    <row r="104" spans="1:4" ht="18" customHeight="1">
      <c r="A104" s="85" t="s">
        <v>183</v>
      </c>
      <c r="B104" s="111">
        <v>37067</v>
      </c>
      <c r="C104" s="111">
        <v>4610</v>
      </c>
      <c r="D104" s="111">
        <v>4610</v>
      </c>
    </row>
    <row r="105" spans="1:4" ht="18" customHeight="1">
      <c r="A105" s="103" t="s">
        <v>15</v>
      </c>
      <c r="B105" s="110">
        <v>63162</v>
      </c>
      <c r="C105" s="110">
        <v>2562</v>
      </c>
      <c r="D105" s="110">
        <v>2562</v>
      </c>
    </row>
    <row r="106" spans="1:4" ht="18" customHeight="1">
      <c r="A106" s="85" t="s">
        <v>182</v>
      </c>
      <c r="B106" s="111">
        <v>23860</v>
      </c>
      <c r="C106" s="111">
        <v>1632</v>
      </c>
      <c r="D106" s="111">
        <v>1632</v>
      </c>
    </row>
    <row r="107" spans="1:4" ht="18" customHeight="1">
      <c r="A107" s="103" t="s">
        <v>13</v>
      </c>
      <c r="B107" s="110">
        <f>7100+11724</f>
        <v>18824</v>
      </c>
      <c r="C107" s="110">
        <f>926+447</f>
        <v>1373</v>
      </c>
      <c r="D107" s="110">
        <f>926+447</f>
        <v>1373</v>
      </c>
    </row>
    <row r="108" spans="1:4" ht="18" customHeight="1">
      <c r="A108" s="103" t="s">
        <v>94</v>
      </c>
      <c r="B108" s="110">
        <v>33741</v>
      </c>
      <c r="C108" s="110">
        <v>1320</v>
      </c>
      <c r="D108" s="110">
        <v>1320</v>
      </c>
    </row>
    <row r="109" spans="1:4" ht="18" customHeight="1">
      <c r="A109" s="85" t="s">
        <v>184</v>
      </c>
      <c r="B109" s="111">
        <v>39740</v>
      </c>
      <c r="C109" s="111">
        <v>7266</v>
      </c>
      <c r="D109" s="111">
        <v>7266</v>
      </c>
    </row>
    <row r="110" spans="1:4" ht="18" customHeight="1">
      <c r="A110" s="103" t="s">
        <v>23</v>
      </c>
      <c r="B110" s="110">
        <v>10678</v>
      </c>
      <c r="C110" s="110">
        <v>468</v>
      </c>
      <c r="D110" s="110">
        <v>468</v>
      </c>
    </row>
    <row r="111" spans="1:4" ht="18" customHeight="1">
      <c r="A111" s="103" t="s">
        <v>71</v>
      </c>
      <c r="B111" s="110">
        <v>47549</v>
      </c>
      <c r="C111" s="110">
        <v>445</v>
      </c>
      <c r="D111" s="110">
        <v>445</v>
      </c>
    </row>
    <row r="112" spans="1:4" ht="18" customHeight="1">
      <c r="A112" s="103" t="s">
        <v>51</v>
      </c>
      <c r="B112" s="110">
        <f>39308+29152</f>
        <v>68460</v>
      </c>
      <c r="C112" s="110">
        <f>2729+2164</f>
        <v>4893</v>
      </c>
      <c r="D112" s="110">
        <f>2729+2164</f>
        <v>4893</v>
      </c>
    </row>
    <row r="113" spans="1:4" ht="18" customHeight="1">
      <c r="A113" s="103" t="s">
        <v>147</v>
      </c>
      <c r="B113" s="108" t="s">
        <v>247</v>
      </c>
      <c r="C113" s="108" t="s">
        <v>247</v>
      </c>
      <c r="D113" s="108" t="s">
        <v>247</v>
      </c>
    </row>
    <row r="114" spans="1:4" ht="18.75" customHeight="1">
      <c r="B114" s="56"/>
      <c r="C114" s="56"/>
      <c r="D114" s="141" t="s">
        <v>267</v>
      </c>
    </row>
  </sheetData>
  <mergeCells count="9">
    <mergeCell ref="A1:D1"/>
    <mergeCell ref="A79:A80"/>
    <mergeCell ref="B79:D79"/>
    <mergeCell ref="A3:A4"/>
    <mergeCell ref="B3:D3"/>
    <mergeCell ref="A39:D39"/>
    <mergeCell ref="A41:A42"/>
    <mergeCell ref="B41:D41"/>
    <mergeCell ref="A77:D77"/>
  </mergeCells>
  <printOptions horizontalCentered="1"/>
  <pageMargins left="0.74803149606299202" right="0.74803149606299202" top="0.78740157480314998" bottom="0.59055118110236204" header="0.511811023622047" footer="0.511811023622047"/>
  <pageSetup paperSize="9" orientation="portrait" r:id="rId1"/>
  <headerFooter alignWithMargins="0">
    <oddHeader>&amp;C&amp;P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30"/>
  <sheetViews>
    <sheetView tabSelected="1" view="pageBreakPreview" zoomScaleSheetLayoutView="100" workbookViewId="0">
      <selection activeCell="L2" sqref="L2:M2"/>
    </sheetView>
  </sheetViews>
  <sheetFormatPr defaultColWidth="9.140625" defaultRowHeight="12"/>
  <cols>
    <col min="1" max="1" width="17.7109375" style="27" bestFit="1" customWidth="1"/>
    <col min="2" max="2" width="4.42578125" style="27" bestFit="1" customWidth="1"/>
    <col min="3" max="3" width="6.5703125" style="27" bestFit="1" customWidth="1"/>
    <col min="4" max="4" width="4.85546875" style="27" bestFit="1" customWidth="1"/>
    <col min="5" max="5" width="5.85546875" style="27" customWidth="1"/>
    <col min="6" max="6" width="5.140625" style="27" customWidth="1"/>
    <col min="7" max="7" width="5.42578125" style="27" customWidth="1"/>
    <col min="8" max="8" width="5.140625" style="27" customWidth="1"/>
    <col min="9" max="9" width="5.85546875" style="27" customWidth="1"/>
    <col min="10" max="10" width="6.7109375" style="27" customWidth="1"/>
    <col min="11" max="11" width="7.28515625" style="27" customWidth="1"/>
    <col min="12" max="12" width="5.85546875" style="27" customWidth="1"/>
    <col min="13" max="13" width="7" style="27" customWidth="1"/>
    <col min="14" max="16384" width="9.140625" style="27"/>
  </cols>
  <sheetData>
    <row r="1" spans="1:13" s="182" customFormat="1" ht="60" customHeight="1">
      <c r="A1" s="263" t="s">
        <v>282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s="182" customFormat="1" ht="13.5" customHeight="1">
      <c r="A2" s="182" t="s">
        <v>279</v>
      </c>
      <c r="F2" s="203" t="s">
        <v>175</v>
      </c>
      <c r="G2" s="203"/>
      <c r="L2" s="264" t="s">
        <v>89</v>
      </c>
      <c r="M2" s="264"/>
    </row>
    <row r="3" spans="1:13" s="182" customFormat="1" ht="22.5" customHeight="1">
      <c r="A3" s="265" t="s">
        <v>7</v>
      </c>
      <c r="B3" s="265" t="s">
        <v>1</v>
      </c>
      <c r="C3" s="265"/>
      <c r="D3" s="265" t="s">
        <v>4</v>
      </c>
      <c r="E3" s="265"/>
      <c r="F3" s="265" t="s">
        <v>5</v>
      </c>
      <c r="G3" s="265"/>
      <c r="H3" s="265" t="s">
        <v>6</v>
      </c>
      <c r="I3" s="265"/>
      <c r="J3" s="266" t="s">
        <v>8</v>
      </c>
      <c r="K3" s="266" t="s">
        <v>9</v>
      </c>
      <c r="L3" s="266" t="s">
        <v>11</v>
      </c>
      <c r="M3" s="266" t="s">
        <v>10</v>
      </c>
    </row>
    <row r="4" spans="1:13" s="182" customFormat="1" ht="22.5" customHeight="1">
      <c r="A4" s="265"/>
      <c r="B4" s="183" t="s">
        <v>2</v>
      </c>
      <c r="C4" s="183" t="s">
        <v>3</v>
      </c>
      <c r="D4" s="183" t="s">
        <v>2</v>
      </c>
      <c r="E4" s="183" t="s">
        <v>3</v>
      </c>
      <c r="F4" s="183" t="s">
        <v>2</v>
      </c>
      <c r="G4" s="183" t="s">
        <v>3</v>
      </c>
      <c r="H4" s="183" t="s">
        <v>2</v>
      </c>
      <c r="I4" s="183" t="s">
        <v>3</v>
      </c>
      <c r="J4" s="266"/>
      <c r="K4" s="266"/>
      <c r="L4" s="266"/>
      <c r="M4" s="266"/>
    </row>
    <row r="5" spans="1:13" s="182" customFormat="1" ht="25.5" customHeight="1">
      <c r="A5" s="184" t="s">
        <v>269</v>
      </c>
      <c r="B5" s="185">
        <f t="shared" ref="B5:M5" si="0">SUM(B6,B9,B11,B14,B17,B20,B28,B32,B35,B43,B47,B49,B53,B56,B60,B63,B68,B71,B73,B80,B86,B89,B92,B94,B97:B103)</f>
        <v>211</v>
      </c>
      <c r="C5" s="185">
        <f t="shared" si="0"/>
        <v>19692</v>
      </c>
      <c r="D5" s="185">
        <f t="shared" si="0"/>
        <v>978</v>
      </c>
      <c r="E5" s="185">
        <f t="shared" si="0"/>
        <v>12</v>
      </c>
      <c r="F5" s="185">
        <f t="shared" si="0"/>
        <v>100</v>
      </c>
      <c r="G5" s="185">
        <f t="shared" si="0"/>
        <v>1506</v>
      </c>
      <c r="H5" s="185">
        <f t="shared" si="0"/>
        <v>74</v>
      </c>
      <c r="I5" s="185">
        <f t="shared" si="0"/>
        <v>52</v>
      </c>
      <c r="J5" s="185">
        <f t="shared" si="0"/>
        <v>151</v>
      </c>
      <c r="K5" s="185">
        <f t="shared" si="0"/>
        <v>23</v>
      </c>
      <c r="L5" s="185">
        <f t="shared" si="0"/>
        <v>937</v>
      </c>
      <c r="M5" s="185">
        <f t="shared" si="0"/>
        <v>24</v>
      </c>
    </row>
    <row r="6" spans="1:13" s="182" customFormat="1" ht="18.600000000000001" customHeight="1">
      <c r="A6" s="186" t="s">
        <v>33</v>
      </c>
      <c r="B6" s="185">
        <f t="shared" ref="B6:M6" si="1">SUM(B7:B8)</f>
        <v>11</v>
      </c>
      <c r="C6" s="185">
        <f t="shared" si="1"/>
        <v>1410</v>
      </c>
      <c r="D6" s="185">
        <f t="shared" si="1"/>
        <v>44</v>
      </c>
      <c r="E6" s="185">
        <f t="shared" si="1"/>
        <v>0</v>
      </c>
      <c r="F6" s="185">
        <f t="shared" si="1"/>
        <v>2</v>
      </c>
      <c r="G6" s="185">
        <f t="shared" si="1"/>
        <v>28</v>
      </c>
      <c r="H6" s="185">
        <f t="shared" si="1"/>
        <v>1</v>
      </c>
      <c r="I6" s="185">
        <f t="shared" si="1"/>
        <v>0</v>
      </c>
      <c r="J6" s="185">
        <f t="shared" si="1"/>
        <v>2</v>
      </c>
      <c r="K6" s="185">
        <f t="shared" si="1"/>
        <v>1</v>
      </c>
      <c r="L6" s="185">
        <f>SUM(L7:L8)</f>
        <v>54</v>
      </c>
      <c r="M6" s="185">
        <f t="shared" si="1"/>
        <v>1</v>
      </c>
    </row>
    <row r="7" spans="1:13" s="182" customFormat="1" ht="18.600000000000001" customHeight="1">
      <c r="A7" s="187" t="s">
        <v>34</v>
      </c>
      <c r="B7" s="188">
        <v>9</v>
      </c>
      <c r="C7" s="188">
        <v>1330</v>
      </c>
      <c r="D7" s="188">
        <v>26</v>
      </c>
      <c r="E7" s="188">
        <v>0</v>
      </c>
      <c r="F7" s="188">
        <v>1</v>
      </c>
      <c r="G7" s="188">
        <v>14</v>
      </c>
      <c r="H7" s="188">
        <v>1</v>
      </c>
      <c r="I7" s="188">
        <v>0</v>
      </c>
      <c r="J7" s="188">
        <v>2</v>
      </c>
      <c r="K7" s="188">
        <v>0</v>
      </c>
      <c r="L7" s="188">
        <v>36</v>
      </c>
      <c r="M7" s="188">
        <v>1</v>
      </c>
    </row>
    <row r="8" spans="1:13" s="182" customFormat="1" ht="18.600000000000001" customHeight="1">
      <c r="A8" s="187" t="s">
        <v>145</v>
      </c>
      <c r="B8" s="188">
        <v>2</v>
      </c>
      <c r="C8" s="189">
        <v>80</v>
      </c>
      <c r="D8" s="188">
        <v>18</v>
      </c>
      <c r="E8" s="188">
        <v>0</v>
      </c>
      <c r="F8" s="188">
        <v>1</v>
      </c>
      <c r="G8" s="188">
        <v>14</v>
      </c>
      <c r="H8" s="188">
        <v>0</v>
      </c>
      <c r="I8" s="188">
        <v>0</v>
      </c>
      <c r="J8" s="188">
        <v>0</v>
      </c>
      <c r="K8" s="188">
        <v>1</v>
      </c>
      <c r="L8" s="188">
        <v>18</v>
      </c>
      <c r="M8" s="188">
        <v>0</v>
      </c>
    </row>
    <row r="9" spans="1:13" s="182" customFormat="1" ht="18.600000000000001" customHeight="1">
      <c r="A9" s="186" t="s">
        <v>52</v>
      </c>
      <c r="B9" s="185">
        <f t="shared" ref="B9:M9" si="2">SUM(B10)</f>
        <v>7</v>
      </c>
      <c r="C9" s="185">
        <f t="shared" si="2"/>
        <v>698</v>
      </c>
      <c r="D9" s="185">
        <f t="shared" si="2"/>
        <v>135</v>
      </c>
      <c r="E9" s="185">
        <f t="shared" si="2"/>
        <v>0</v>
      </c>
      <c r="F9" s="185">
        <f t="shared" si="2"/>
        <v>2</v>
      </c>
      <c r="G9" s="185">
        <f t="shared" si="2"/>
        <v>38</v>
      </c>
      <c r="H9" s="185">
        <f t="shared" si="2"/>
        <v>2</v>
      </c>
      <c r="I9" s="185">
        <f t="shared" si="2"/>
        <v>0</v>
      </c>
      <c r="J9" s="185">
        <f t="shared" si="2"/>
        <v>16</v>
      </c>
      <c r="K9" s="185">
        <f t="shared" si="2"/>
        <v>0</v>
      </c>
      <c r="L9" s="185">
        <f>SUM(L10)</f>
        <v>45</v>
      </c>
      <c r="M9" s="185">
        <f t="shared" si="2"/>
        <v>0</v>
      </c>
    </row>
    <row r="10" spans="1:13" s="182" customFormat="1" ht="18.600000000000001" customHeight="1">
      <c r="A10" s="187" t="s">
        <v>53</v>
      </c>
      <c r="B10" s="188">
        <v>7</v>
      </c>
      <c r="C10" s="188">
        <v>698</v>
      </c>
      <c r="D10" s="188">
        <v>135</v>
      </c>
      <c r="E10" s="188">
        <v>0</v>
      </c>
      <c r="F10" s="188">
        <v>2</v>
      </c>
      <c r="G10" s="188">
        <v>38</v>
      </c>
      <c r="H10" s="188">
        <v>2</v>
      </c>
      <c r="I10" s="188">
        <v>0</v>
      </c>
      <c r="J10" s="188">
        <v>16</v>
      </c>
      <c r="K10" s="188">
        <v>0</v>
      </c>
      <c r="L10" s="188">
        <v>45</v>
      </c>
      <c r="M10" s="188">
        <v>0</v>
      </c>
    </row>
    <row r="11" spans="1:13" s="182" customFormat="1" ht="18.600000000000001" customHeight="1">
      <c r="A11" s="186" t="s">
        <v>43</v>
      </c>
      <c r="B11" s="185">
        <f t="shared" ref="B11:M11" si="3">SUM(B12:B13)</f>
        <v>2</v>
      </c>
      <c r="C11" s="185">
        <f t="shared" si="3"/>
        <v>174</v>
      </c>
      <c r="D11" s="185">
        <f t="shared" si="3"/>
        <v>9</v>
      </c>
      <c r="E11" s="185">
        <f t="shared" si="3"/>
        <v>0</v>
      </c>
      <c r="F11" s="185">
        <f t="shared" si="3"/>
        <v>2</v>
      </c>
      <c r="G11" s="185">
        <f t="shared" si="3"/>
        <v>16</v>
      </c>
      <c r="H11" s="185">
        <f t="shared" si="3"/>
        <v>1</v>
      </c>
      <c r="I11" s="185">
        <f t="shared" si="3"/>
        <v>0</v>
      </c>
      <c r="J11" s="185">
        <f t="shared" si="3"/>
        <v>1</v>
      </c>
      <c r="K11" s="185">
        <f t="shared" si="3"/>
        <v>0</v>
      </c>
      <c r="L11" s="185">
        <f>SUM(L12:L13)</f>
        <v>28</v>
      </c>
      <c r="M11" s="185">
        <f t="shared" si="3"/>
        <v>2</v>
      </c>
    </row>
    <row r="12" spans="1:13" s="182" customFormat="1" ht="18.600000000000001" customHeight="1">
      <c r="A12" s="187" t="s">
        <v>45</v>
      </c>
      <c r="B12" s="188">
        <v>1</v>
      </c>
      <c r="C12" s="188">
        <v>40</v>
      </c>
      <c r="D12" s="188">
        <v>4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  <c r="K12" s="188">
        <v>0</v>
      </c>
      <c r="L12" s="188">
        <v>12</v>
      </c>
      <c r="M12" s="188">
        <v>1</v>
      </c>
    </row>
    <row r="13" spans="1:13" s="182" customFormat="1" ht="18.600000000000001" customHeight="1">
      <c r="A13" s="187" t="s">
        <v>44</v>
      </c>
      <c r="B13" s="188">
        <v>1</v>
      </c>
      <c r="C13" s="188">
        <v>134</v>
      </c>
      <c r="D13" s="188">
        <v>5</v>
      </c>
      <c r="E13" s="188">
        <v>0</v>
      </c>
      <c r="F13" s="188">
        <v>2</v>
      </c>
      <c r="G13" s="188">
        <v>16</v>
      </c>
      <c r="H13" s="188">
        <v>1</v>
      </c>
      <c r="I13" s="188">
        <v>0</v>
      </c>
      <c r="J13" s="188">
        <v>1</v>
      </c>
      <c r="K13" s="188">
        <v>0</v>
      </c>
      <c r="L13" s="188">
        <v>16</v>
      </c>
      <c r="M13" s="188">
        <v>1</v>
      </c>
    </row>
    <row r="14" spans="1:13" s="182" customFormat="1" ht="18.600000000000001" customHeight="1">
      <c r="A14" s="186" t="s">
        <v>79</v>
      </c>
      <c r="B14" s="185">
        <f t="shared" ref="B14:M14" si="4">SUM(B15:B16)</f>
        <v>4</v>
      </c>
      <c r="C14" s="185">
        <f t="shared" si="4"/>
        <v>303</v>
      </c>
      <c r="D14" s="185">
        <f t="shared" si="4"/>
        <v>8</v>
      </c>
      <c r="E14" s="185">
        <f t="shared" si="4"/>
        <v>0</v>
      </c>
      <c r="F14" s="185">
        <f t="shared" si="4"/>
        <v>4</v>
      </c>
      <c r="G14" s="185">
        <f t="shared" si="4"/>
        <v>40</v>
      </c>
      <c r="H14" s="185">
        <f t="shared" si="4"/>
        <v>1</v>
      </c>
      <c r="I14" s="185">
        <f t="shared" si="4"/>
        <v>0</v>
      </c>
      <c r="J14" s="185">
        <f t="shared" si="4"/>
        <v>0</v>
      </c>
      <c r="K14" s="185">
        <f t="shared" si="4"/>
        <v>0</v>
      </c>
      <c r="L14" s="185">
        <f>SUM(L15:L16)</f>
        <v>18</v>
      </c>
      <c r="M14" s="185">
        <f t="shared" si="4"/>
        <v>3</v>
      </c>
    </row>
    <row r="15" spans="1:13" s="182" customFormat="1" ht="18.600000000000001" customHeight="1">
      <c r="A15" s="187" t="s">
        <v>80</v>
      </c>
      <c r="B15" s="188">
        <v>3</v>
      </c>
      <c r="C15" s="188">
        <v>278</v>
      </c>
      <c r="D15" s="188">
        <v>6</v>
      </c>
      <c r="E15" s="188">
        <v>0</v>
      </c>
      <c r="F15" s="188">
        <v>4</v>
      </c>
      <c r="G15" s="188">
        <v>40</v>
      </c>
      <c r="H15" s="188">
        <v>1</v>
      </c>
      <c r="I15" s="188">
        <v>0</v>
      </c>
      <c r="J15" s="188">
        <v>0</v>
      </c>
      <c r="K15" s="188">
        <v>0</v>
      </c>
      <c r="L15" s="188">
        <v>17</v>
      </c>
      <c r="M15" s="188">
        <v>3</v>
      </c>
    </row>
    <row r="16" spans="1:13" s="182" customFormat="1" ht="18.600000000000001" customHeight="1">
      <c r="A16" s="187" t="s">
        <v>130</v>
      </c>
      <c r="B16" s="188">
        <v>1</v>
      </c>
      <c r="C16" s="188">
        <v>25</v>
      </c>
      <c r="D16" s="188">
        <v>2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1</v>
      </c>
      <c r="M16" s="188">
        <v>0</v>
      </c>
    </row>
    <row r="17" spans="1:13" s="182" customFormat="1" ht="18.600000000000001" customHeight="1">
      <c r="A17" s="186" t="s">
        <v>16</v>
      </c>
      <c r="B17" s="185">
        <f t="shared" ref="B17:M17" si="5">SUM(B18:B19)</f>
        <v>4</v>
      </c>
      <c r="C17" s="185">
        <f t="shared" si="5"/>
        <v>440</v>
      </c>
      <c r="D17" s="185">
        <f t="shared" si="5"/>
        <v>7</v>
      </c>
      <c r="E17" s="185">
        <f t="shared" si="5"/>
        <v>0</v>
      </c>
      <c r="F17" s="185">
        <f t="shared" si="5"/>
        <v>3</v>
      </c>
      <c r="G17" s="185">
        <f t="shared" si="5"/>
        <v>42</v>
      </c>
      <c r="H17" s="185">
        <f t="shared" si="5"/>
        <v>0</v>
      </c>
      <c r="I17" s="185">
        <f t="shared" si="5"/>
        <v>0</v>
      </c>
      <c r="J17" s="185">
        <f t="shared" si="5"/>
        <v>1</v>
      </c>
      <c r="K17" s="185">
        <f t="shared" si="5"/>
        <v>0</v>
      </c>
      <c r="L17" s="185">
        <f>SUM(L18:L19)</f>
        <v>44</v>
      </c>
      <c r="M17" s="185">
        <f t="shared" si="5"/>
        <v>0</v>
      </c>
    </row>
    <row r="18" spans="1:13" s="182" customFormat="1" ht="18.600000000000001" customHeight="1">
      <c r="A18" s="187" t="s">
        <v>17</v>
      </c>
      <c r="B18" s="188">
        <v>3</v>
      </c>
      <c r="C18" s="188">
        <v>360</v>
      </c>
      <c r="D18" s="188">
        <v>6</v>
      </c>
      <c r="E18" s="188">
        <v>0</v>
      </c>
      <c r="F18" s="188">
        <v>1</v>
      </c>
      <c r="G18" s="188">
        <v>14</v>
      </c>
      <c r="H18" s="188">
        <v>0</v>
      </c>
      <c r="I18" s="188">
        <v>0</v>
      </c>
      <c r="J18" s="188">
        <v>1</v>
      </c>
      <c r="K18" s="188">
        <v>0</v>
      </c>
      <c r="L18" s="188">
        <v>35</v>
      </c>
      <c r="M18" s="188">
        <v>0</v>
      </c>
    </row>
    <row r="19" spans="1:13" s="182" customFormat="1" ht="18.600000000000001" customHeight="1">
      <c r="A19" s="187" t="s">
        <v>18</v>
      </c>
      <c r="B19" s="188">
        <v>1</v>
      </c>
      <c r="C19" s="188">
        <v>80</v>
      </c>
      <c r="D19" s="188">
        <v>1</v>
      </c>
      <c r="E19" s="188">
        <v>0</v>
      </c>
      <c r="F19" s="188">
        <v>2</v>
      </c>
      <c r="G19" s="188">
        <v>28</v>
      </c>
      <c r="H19" s="188">
        <v>0</v>
      </c>
      <c r="I19" s="188">
        <v>0</v>
      </c>
      <c r="J19" s="188">
        <v>0</v>
      </c>
      <c r="K19" s="188">
        <v>0</v>
      </c>
      <c r="L19" s="188">
        <v>9</v>
      </c>
      <c r="M19" s="188">
        <v>0</v>
      </c>
    </row>
    <row r="20" spans="1:13" s="182" customFormat="1" ht="18.600000000000001" customHeight="1">
      <c r="A20" s="186" t="s">
        <v>60</v>
      </c>
      <c r="B20" s="185">
        <f t="shared" ref="B20:M20" si="6">SUM(B21:B27)</f>
        <v>4</v>
      </c>
      <c r="C20" s="185">
        <f t="shared" si="6"/>
        <v>306</v>
      </c>
      <c r="D20" s="185">
        <f t="shared" si="6"/>
        <v>29</v>
      </c>
      <c r="E20" s="185">
        <f t="shared" si="6"/>
        <v>0</v>
      </c>
      <c r="F20" s="185">
        <f t="shared" si="6"/>
        <v>6</v>
      </c>
      <c r="G20" s="185">
        <f t="shared" si="6"/>
        <v>116</v>
      </c>
      <c r="H20" s="185">
        <f t="shared" si="6"/>
        <v>2</v>
      </c>
      <c r="I20" s="185">
        <f t="shared" si="6"/>
        <v>0</v>
      </c>
      <c r="J20" s="185">
        <f t="shared" si="6"/>
        <v>2</v>
      </c>
      <c r="K20" s="185">
        <f t="shared" si="6"/>
        <v>0</v>
      </c>
      <c r="L20" s="185">
        <f>SUM(L21:L27)</f>
        <v>19</v>
      </c>
      <c r="M20" s="185">
        <f t="shared" si="6"/>
        <v>3</v>
      </c>
    </row>
    <row r="21" spans="1:13" s="182" customFormat="1" ht="18.600000000000001" customHeight="1">
      <c r="A21" s="187" t="s">
        <v>61</v>
      </c>
      <c r="B21" s="188">
        <v>2</v>
      </c>
      <c r="C21" s="188">
        <v>226</v>
      </c>
      <c r="D21" s="188">
        <v>14</v>
      </c>
      <c r="E21" s="188">
        <v>0</v>
      </c>
      <c r="F21" s="189">
        <v>2</v>
      </c>
      <c r="G21" s="189">
        <v>32</v>
      </c>
      <c r="H21" s="188">
        <v>1</v>
      </c>
      <c r="I21" s="188">
        <v>0</v>
      </c>
      <c r="J21" s="188">
        <v>1</v>
      </c>
      <c r="K21" s="188">
        <v>0</v>
      </c>
      <c r="L21" s="188">
        <v>3</v>
      </c>
      <c r="M21" s="188">
        <v>1</v>
      </c>
    </row>
    <row r="22" spans="1:13" s="182" customFormat="1" ht="18.600000000000001" customHeight="1">
      <c r="A22" s="187" t="s">
        <v>85</v>
      </c>
      <c r="B22" s="188">
        <v>1</v>
      </c>
      <c r="C22" s="188">
        <v>46</v>
      </c>
      <c r="D22" s="188">
        <v>0</v>
      </c>
      <c r="E22" s="188">
        <v>0</v>
      </c>
      <c r="F22" s="188">
        <v>0</v>
      </c>
      <c r="G22" s="188">
        <v>0</v>
      </c>
      <c r="H22" s="188">
        <v>1</v>
      </c>
      <c r="I22" s="188">
        <v>0</v>
      </c>
      <c r="J22" s="188">
        <v>1</v>
      </c>
      <c r="K22" s="188">
        <v>0</v>
      </c>
      <c r="L22" s="188">
        <v>5</v>
      </c>
      <c r="M22" s="188">
        <v>1</v>
      </c>
    </row>
    <row r="23" spans="1:13" s="182" customFormat="1" ht="18.600000000000001" customHeight="1">
      <c r="A23" s="187" t="s">
        <v>84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</row>
    <row r="24" spans="1:13" s="182" customFormat="1" ht="18.600000000000001" customHeight="1">
      <c r="A24" s="187" t="s">
        <v>62</v>
      </c>
      <c r="B24" s="188">
        <v>1</v>
      </c>
      <c r="C24" s="188">
        <v>34</v>
      </c>
      <c r="D24" s="188">
        <v>15</v>
      </c>
      <c r="E24" s="188">
        <v>0</v>
      </c>
      <c r="F24" s="189">
        <v>3</v>
      </c>
      <c r="G24" s="189">
        <v>58</v>
      </c>
      <c r="H24" s="188">
        <v>0</v>
      </c>
      <c r="I24" s="188">
        <v>0</v>
      </c>
      <c r="J24" s="188">
        <v>0</v>
      </c>
      <c r="K24" s="188">
        <v>0</v>
      </c>
      <c r="L24" s="188">
        <v>4</v>
      </c>
      <c r="M24" s="188">
        <v>1</v>
      </c>
    </row>
    <row r="25" spans="1:13" s="182" customFormat="1" ht="18.600000000000001" customHeight="1">
      <c r="A25" s="187" t="s">
        <v>88</v>
      </c>
      <c r="B25" s="188">
        <v>0</v>
      </c>
      <c r="C25" s="188">
        <v>0</v>
      </c>
      <c r="D25" s="188">
        <v>0</v>
      </c>
      <c r="E25" s="188">
        <v>0</v>
      </c>
      <c r="F25" s="189">
        <v>1</v>
      </c>
      <c r="G25" s="189">
        <v>26</v>
      </c>
      <c r="H25" s="188">
        <v>0</v>
      </c>
      <c r="I25" s="188">
        <v>0</v>
      </c>
      <c r="J25" s="188">
        <v>0</v>
      </c>
      <c r="K25" s="188">
        <v>0</v>
      </c>
      <c r="L25" s="188">
        <v>1</v>
      </c>
      <c r="M25" s="188">
        <v>0</v>
      </c>
    </row>
    <row r="26" spans="1:13" s="182" customFormat="1" ht="18.600000000000001" customHeight="1">
      <c r="A26" s="187" t="s">
        <v>86</v>
      </c>
      <c r="B26" s="188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  <c r="H26" s="188">
        <v>0</v>
      </c>
      <c r="I26" s="188">
        <v>0</v>
      </c>
      <c r="J26" s="188">
        <v>0</v>
      </c>
      <c r="K26" s="188">
        <v>0</v>
      </c>
      <c r="L26" s="188">
        <v>3</v>
      </c>
      <c r="M26" s="188">
        <v>0</v>
      </c>
    </row>
    <row r="27" spans="1:13" s="182" customFormat="1" ht="18.600000000000001" customHeight="1">
      <c r="A27" s="187" t="s">
        <v>87</v>
      </c>
      <c r="B27" s="188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3</v>
      </c>
      <c r="M27" s="188">
        <v>0</v>
      </c>
    </row>
    <row r="28" spans="1:13" s="182" customFormat="1" ht="18.600000000000001" customHeight="1">
      <c r="A28" s="186" t="s">
        <v>56</v>
      </c>
      <c r="B28" s="185">
        <f t="shared" ref="B28:M28" si="7">SUM(B29:B31)</f>
        <v>12</v>
      </c>
      <c r="C28" s="185">
        <f t="shared" si="7"/>
        <v>673</v>
      </c>
      <c r="D28" s="185">
        <f t="shared" si="7"/>
        <v>39</v>
      </c>
      <c r="E28" s="185">
        <f t="shared" si="7"/>
        <v>0</v>
      </c>
      <c r="F28" s="185">
        <f t="shared" si="7"/>
        <v>2</v>
      </c>
      <c r="G28" s="185">
        <f t="shared" si="7"/>
        <v>48</v>
      </c>
      <c r="H28" s="185">
        <f t="shared" si="7"/>
        <v>1</v>
      </c>
      <c r="I28" s="185">
        <f t="shared" si="7"/>
        <v>0</v>
      </c>
      <c r="J28" s="185">
        <f t="shared" si="7"/>
        <v>7</v>
      </c>
      <c r="K28" s="185">
        <f t="shared" si="7"/>
        <v>2</v>
      </c>
      <c r="L28" s="185">
        <f>SUM(L29:L31)</f>
        <v>41</v>
      </c>
      <c r="M28" s="185">
        <f t="shared" si="7"/>
        <v>0</v>
      </c>
    </row>
    <row r="29" spans="1:13" s="182" customFormat="1" ht="18.600000000000001" customHeight="1">
      <c r="A29" s="187" t="s">
        <v>57</v>
      </c>
      <c r="B29" s="188">
        <v>8</v>
      </c>
      <c r="C29" s="188">
        <v>513</v>
      </c>
      <c r="D29" s="188">
        <v>25</v>
      </c>
      <c r="E29" s="188">
        <v>0</v>
      </c>
      <c r="F29" s="188">
        <v>1</v>
      </c>
      <c r="G29" s="189">
        <v>24</v>
      </c>
      <c r="H29" s="189">
        <v>1</v>
      </c>
      <c r="I29" s="189">
        <v>0</v>
      </c>
      <c r="J29" s="189">
        <v>3</v>
      </c>
      <c r="K29" s="189">
        <v>2</v>
      </c>
      <c r="L29" s="188">
        <v>27</v>
      </c>
      <c r="M29" s="189">
        <v>0</v>
      </c>
    </row>
    <row r="30" spans="1:13" s="182" customFormat="1" ht="18.600000000000001" customHeight="1">
      <c r="A30" s="187" t="s">
        <v>59</v>
      </c>
      <c r="B30" s="188">
        <v>1</v>
      </c>
      <c r="C30" s="188">
        <v>40</v>
      </c>
      <c r="D30" s="188">
        <v>5</v>
      </c>
      <c r="E30" s="188">
        <v>0</v>
      </c>
      <c r="F30" s="188">
        <v>0</v>
      </c>
      <c r="G30" s="189">
        <v>0</v>
      </c>
      <c r="H30" s="189">
        <v>0</v>
      </c>
      <c r="I30" s="189">
        <v>0</v>
      </c>
      <c r="J30" s="189">
        <v>1</v>
      </c>
      <c r="K30" s="189">
        <v>0</v>
      </c>
      <c r="L30" s="188">
        <v>6</v>
      </c>
      <c r="M30" s="189">
        <v>0</v>
      </c>
    </row>
    <row r="31" spans="1:13" s="182" customFormat="1" ht="18.600000000000001" customHeight="1">
      <c r="A31" s="187" t="s">
        <v>58</v>
      </c>
      <c r="B31" s="188">
        <v>3</v>
      </c>
      <c r="C31" s="188">
        <v>120</v>
      </c>
      <c r="D31" s="188">
        <v>9</v>
      </c>
      <c r="E31" s="188">
        <v>0</v>
      </c>
      <c r="F31" s="188">
        <v>1</v>
      </c>
      <c r="G31" s="189">
        <v>24</v>
      </c>
      <c r="H31" s="189">
        <v>0</v>
      </c>
      <c r="I31" s="189">
        <v>0</v>
      </c>
      <c r="J31" s="189">
        <v>3</v>
      </c>
      <c r="K31" s="189">
        <v>0</v>
      </c>
      <c r="L31" s="188">
        <v>8</v>
      </c>
      <c r="M31" s="189">
        <v>0</v>
      </c>
    </row>
    <row r="32" spans="1:13" s="182" customFormat="1" ht="18.600000000000001" customHeight="1">
      <c r="A32" s="186" t="s">
        <v>27</v>
      </c>
      <c r="B32" s="185">
        <f t="shared" ref="B32:M32" si="8">SUM(B33:B34)</f>
        <v>6</v>
      </c>
      <c r="C32" s="185">
        <f t="shared" si="8"/>
        <v>266</v>
      </c>
      <c r="D32" s="185">
        <f t="shared" si="8"/>
        <v>2</v>
      </c>
      <c r="E32" s="185">
        <f t="shared" si="8"/>
        <v>0</v>
      </c>
      <c r="F32" s="185">
        <f t="shared" si="8"/>
        <v>1</v>
      </c>
      <c r="G32" s="185">
        <f t="shared" si="8"/>
        <v>10</v>
      </c>
      <c r="H32" s="185">
        <f t="shared" si="8"/>
        <v>4</v>
      </c>
      <c r="I32" s="185">
        <f t="shared" si="8"/>
        <v>0</v>
      </c>
      <c r="J32" s="185">
        <f t="shared" si="8"/>
        <v>1</v>
      </c>
      <c r="K32" s="185">
        <f t="shared" si="8"/>
        <v>2</v>
      </c>
      <c r="L32" s="185">
        <f>SUM(L33:L34)</f>
        <v>14</v>
      </c>
      <c r="M32" s="185">
        <f t="shared" si="8"/>
        <v>0</v>
      </c>
    </row>
    <row r="33" spans="1:13" s="182" customFormat="1" ht="18.600000000000001" customHeight="1">
      <c r="A33" s="187" t="s">
        <v>28</v>
      </c>
      <c r="B33" s="188">
        <v>4</v>
      </c>
      <c r="C33" s="188">
        <v>186</v>
      </c>
      <c r="D33" s="188">
        <v>1</v>
      </c>
      <c r="E33" s="188">
        <v>0</v>
      </c>
      <c r="F33" s="188">
        <v>1</v>
      </c>
      <c r="G33" s="188">
        <v>10</v>
      </c>
      <c r="H33" s="188">
        <v>4</v>
      </c>
      <c r="I33" s="188">
        <v>0</v>
      </c>
      <c r="J33" s="188">
        <v>0</v>
      </c>
      <c r="K33" s="188">
        <v>0</v>
      </c>
      <c r="L33" s="188">
        <v>9</v>
      </c>
      <c r="M33" s="188">
        <v>0</v>
      </c>
    </row>
    <row r="34" spans="1:13" s="182" customFormat="1" ht="18.600000000000001" customHeight="1">
      <c r="A34" s="187" t="s">
        <v>196</v>
      </c>
      <c r="B34" s="189">
        <v>2</v>
      </c>
      <c r="C34" s="189">
        <v>80</v>
      </c>
      <c r="D34" s="188">
        <v>1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1</v>
      </c>
      <c r="K34" s="188">
        <v>2</v>
      </c>
      <c r="L34" s="188">
        <v>5</v>
      </c>
      <c r="M34" s="188">
        <v>0</v>
      </c>
    </row>
    <row r="35" spans="1:13" s="182" customFormat="1" ht="18.600000000000001" customHeight="1">
      <c r="A35" s="186" t="s">
        <v>35</v>
      </c>
      <c r="B35" s="185">
        <f t="shared" ref="B35:M35" si="9">SUM(B36:B37)</f>
        <v>10</v>
      </c>
      <c r="C35" s="185">
        <f t="shared" si="9"/>
        <v>715</v>
      </c>
      <c r="D35" s="185">
        <f t="shared" si="9"/>
        <v>11</v>
      </c>
      <c r="E35" s="185">
        <f t="shared" si="9"/>
        <v>0</v>
      </c>
      <c r="F35" s="185">
        <f t="shared" si="9"/>
        <v>5</v>
      </c>
      <c r="G35" s="185">
        <f t="shared" si="9"/>
        <v>60</v>
      </c>
      <c r="H35" s="185">
        <f t="shared" si="9"/>
        <v>1</v>
      </c>
      <c r="I35" s="185">
        <f t="shared" si="9"/>
        <v>0</v>
      </c>
      <c r="J35" s="185">
        <f t="shared" si="9"/>
        <v>2</v>
      </c>
      <c r="K35" s="185">
        <f t="shared" si="9"/>
        <v>6</v>
      </c>
      <c r="L35" s="185">
        <f>SUM(L36:L37)</f>
        <v>40</v>
      </c>
      <c r="M35" s="185">
        <f t="shared" si="9"/>
        <v>1</v>
      </c>
    </row>
    <row r="36" spans="1:13" s="182" customFormat="1" ht="18.600000000000001" customHeight="1">
      <c r="A36" s="187" t="s">
        <v>37</v>
      </c>
      <c r="B36" s="188">
        <v>2</v>
      </c>
      <c r="C36" s="188">
        <v>80</v>
      </c>
      <c r="D36" s="188">
        <v>1</v>
      </c>
      <c r="E36" s="188">
        <v>0</v>
      </c>
      <c r="F36" s="188">
        <v>2</v>
      </c>
      <c r="G36" s="188">
        <v>20</v>
      </c>
      <c r="H36" s="188">
        <v>0</v>
      </c>
      <c r="I36" s="188">
        <v>0</v>
      </c>
      <c r="J36" s="188">
        <v>0</v>
      </c>
      <c r="K36" s="188">
        <v>1</v>
      </c>
      <c r="L36" s="188">
        <v>0</v>
      </c>
      <c r="M36" s="188">
        <v>0</v>
      </c>
    </row>
    <row r="37" spans="1:13" s="182" customFormat="1" ht="18.600000000000001" customHeight="1">
      <c r="A37" s="187" t="s">
        <v>36</v>
      </c>
      <c r="B37" s="188">
        <v>8</v>
      </c>
      <c r="C37" s="188">
        <v>635</v>
      </c>
      <c r="D37" s="188">
        <v>10</v>
      </c>
      <c r="E37" s="188">
        <v>0</v>
      </c>
      <c r="F37" s="188">
        <v>3</v>
      </c>
      <c r="G37" s="188">
        <v>40</v>
      </c>
      <c r="H37" s="188">
        <v>1</v>
      </c>
      <c r="I37" s="188">
        <v>0</v>
      </c>
      <c r="J37" s="188">
        <v>2</v>
      </c>
      <c r="K37" s="188">
        <v>5</v>
      </c>
      <c r="L37" s="188">
        <v>40</v>
      </c>
      <c r="M37" s="188">
        <v>1</v>
      </c>
    </row>
    <row r="38" spans="1:13" s="182" customFormat="1" ht="12.7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2" t="s">
        <v>90</v>
      </c>
    </row>
    <row r="39" spans="1:13" s="182" customFormat="1" ht="60" customHeight="1">
      <c r="A39" s="263" t="s">
        <v>282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</row>
    <row r="40" spans="1:13" s="182" customFormat="1" ht="13.5" customHeight="1">
      <c r="A40" s="182" t="s">
        <v>279</v>
      </c>
      <c r="F40" s="203" t="s">
        <v>175</v>
      </c>
      <c r="G40" s="260"/>
      <c r="H40" s="260"/>
      <c r="L40" s="264" t="s">
        <v>89</v>
      </c>
      <c r="M40" s="264"/>
    </row>
    <row r="41" spans="1:13" s="182" customFormat="1" ht="22.5" customHeight="1">
      <c r="A41" s="265" t="s">
        <v>7</v>
      </c>
      <c r="B41" s="265" t="s">
        <v>1</v>
      </c>
      <c r="C41" s="265"/>
      <c r="D41" s="265" t="s">
        <v>4</v>
      </c>
      <c r="E41" s="265"/>
      <c r="F41" s="265" t="s">
        <v>5</v>
      </c>
      <c r="G41" s="265"/>
      <c r="H41" s="265" t="s">
        <v>6</v>
      </c>
      <c r="I41" s="265"/>
      <c r="J41" s="266" t="s">
        <v>8</v>
      </c>
      <c r="K41" s="266" t="s">
        <v>9</v>
      </c>
      <c r="L41" s="266" t="s">
        <v>11</v>
      </c>
      <c r="M41" s="266" t="s">
        <v>10</v>
      </c>
    </row>
    <row r="42" spans="1:13" s="182" customFormat="1" ht="22.5" customHeight="1">
      <c r="A42" s="265"/>
      <c r="B42" s="183" t="s">
        <v>2</v>
      </c>
      <c r="C42" s="183" t="s">
        <v>3</v>
      </c>
      <c r="D42" s="183" t="s">
        <v>2</v>
      </c>
      <c r="E42" s="183" t="s">
        <v>3</v>
      </c>
      <c r="F42" s="183" t="s">
        <v>2</v>
      </c>
      <c r="G42" s="183" t="s">
        <v>3</v>
      </c>
      <c r="H42" s="183" t="s">
        <v>2</v>
      </c>
      <c r="I42" s="183" t="s">
        <v>3</v>
      </c>
      <c r="J42" s="266"/>
      <c r="K42" s="266"/>
      <c r="L42" s="266"/>
      <c r="M42" s="266"/>
    </row>
    <row r="43" spans="1:13" s="182" customFormat="1" ht="18.600000000000001" customHeight="1">
      <c r="A43" s="186" t="s">
        <v>29</v>
      </c>
      <c r="B43" s="185">
        <f t="shared" ref="B43:M43" si="10">SUM(B44:B46)</f>
        <v>8</v>
      </c>
      <c r="C43" s="185">
        <f t="shared" si="10"/>
        <v>532</v>
      </c>
      <c r="D43" s="185">
        <f t="shared" si="10"/>
        <v>2</v>
      </c>
      <c r="E43" s="185">
        <f t="shared" si="10"/>
        <v>0</v>
      </c>
      <c r="F43" s="185">
        <f t="shared" si="10"/>
        <v>5</v>
      </c>
      <c r="G43" s="185">
        <f t="shared" si="10"/>
        <v>40</v>
      </c>
      <c r="H43" s="185">
        <f t="shared" si="10"/>
        <v>1</v>
      </c>
      <c r="I43" s="185">
        <f t="shared" si="10"/>
        <v>0</v>
      </c>
      <c r="J43" s="185">
        <f t="shared" si="10"/>
        <v>2</v>
      </c>
      <c r="K43" s="185">
        <f t="shared" si="10"/>
        <v>0</v>
      </c>
      <c r="L43" s="185">
        <f>SUM(L44:L46)</f>
        <v>19</v>
      </c>
      <c r="M43" s="185">
        <f t="shared" si="10"/>
        <v>0</v>
      </c>
    </row>
    <row r="44" spans="1:13" s="182" customFormat="1" ht="18.600000000000001" customHeight="1">
      <c r="A44" s="187" t="s">
        <v>31</v>
      </c>
      <c r="B44" s="188">
        <v>3</v>
      </c>
      <c r="C44" s="188">
        <v>52</v>
      </c>
      <c r="D44" s="188">
        <v>0</v>
      </c>
      <c r="E44" s="188">
        <v>0</v>
      </c>
      <c r="F44" s="188">
        <v>1</v>
      </c>
      <c r="G44" s="188">
        <v>8</v>
      </c>
      <c r="H44" s="188">
        <v>0</v>
      </c>
      <c r="I44" s="188">
        <v>0</v>
      </c>
      <c r="J44" s="188">
        <v>0</v>
      </c>
      <c r="K44" s="188">
        <v>0</v>
      </c>
      <c r="L44" s="188">
        <v>5</v>
      </c>
      <c r="M44" s="188">
        <v>0</v>
      </c>
    </row>
    <row r="45" spans="1:13" s="182" customFormat="1" ht="18.600000000000001" customHeight="1">
      <c r="A45" s="187" t="s">
        <v>30</v>
      </c>
      <c r="B45" s="188">
        <v>3</v>
      </c>
      <c r="C45" s="188">
        <v>330</v>
      </c>
      <c r="D45" s="188">
        <v>2</v>
      </c>
      <c r="E45" s="188">
        <v>0</v>
      </c>
      <c r="F45" s="188">
        <v>3</v>
      </c>
      <c r="G45" s="188">
        <v>24</v>
      </c>
      <c r="H45" s="188">
        <v>1</v>
      </c>
      <c r="I45" s="188">
        <v>0</v>
      </c>
      <c r="J45" s="188">
        <v>1</v>
      </c>
      <c r="K45" s="188">
        <v>0</v>
      </c>
      <c r="L45" s="188">
        <v>7</v>
      </c>
      <c r="M45" s="188">
        <v>0</v>
      </c>
    </row>
    <row r="46" spans="1:13" s="182" customFormat="1" ht="18.600000000000001" customHeight="1">
      <c r="A46" s="187" t="s">
        <v>32</v>
      </c>
      <c r="B46" s="188">
        <v>2</v>
      </c>
      <c r="C46" s="188">
        <v>150</v>
      </c>
      <c r="D46" s="188">
        <v>0</v>
      </c>
      <c r="E46" s="188">
        <v>0</v>
      </c>
      <c r="F46" s="188">
        <v>1</v>
      </c>
      <c r="G46" s="188">
        <v>8</v>
      </c>
      <c r="H46" s="188">
        <v>0</v>
      </c>
      <c r="I46" s="188">
        <v>0</v>
      </c>
      <c r="J46" s="188">
        <v>1</v>
      </c>
      <c r="K46" s="188">
        <v>0</v>
      </c>
      <c r="L46" s="188">
        <v>7</v>
      </c>
      <c r="M46" s="188">
        <v>0</v>
      </c>
    </row>
    <row r="47" spans="1:13" s="182" customFormat="1" ht="18.600000000000001" customHeight="1">
      <c r="A47" s="186" t="s">
        <v>25</v>
      </c>
      <c r="B47" s="185">
        <f t="shared" ref="B47:M47" si="11">SUM(B48)</f>
        <v>7</v>
      </c>
      <c r="C47" s="185">
        <f t="shared" si="11"/>
        <v>522</v>
      </c>
      <c r="D47" s="185">
        <f t="shared" si="11"/>
        <v>17</v>
      </c>
      <c r="E47" s="185">
        <f t="shared" si="11"/>
        <v>0</v>
      </c>
      <c r="F47" s="185">
        <f t="shared" si="11"/>
        <v>4</v>
      </c>
      <c r="G47" s="185">
        <f t="shared" si="11"/>
        <v>88</v>
      </c>
      <c r="H47" s="185">
        <f t="shared" si="11"/>
        <v>1</v>
      </c>
      <c r="I47" s="185">
        <f t="shared" si="11"/>
        <v>0</v>
      </c>
      <c r="J47" s="185">
        <f t="shared" si="11"/>
        <v>0</v>
      </c>
      <c r="K47" s="185">
        <f t="shared" si="11"/>
        <v>3</v>
      </c>
      <c r="L47" s="185">
        <f>SUM(L48)</f>
        <v>29</v>
      </c>
      <c r="M47" s="185">
        <f t="shared" si="11"/>
        <v>0</v>
      </c>
    </row>
    <row r="48" spans="1:13" s="182" customFormat="1" ht="18.600000000000001" customHeight="1">
      <c r="A48" s="187" t="s">
        <v>26</v>
      </c>
      <c r="B48" s="188">
        <v>7</v>
      </c>
      <c r="C48" s="188">
        <v>522</v>
      </c>
      <c r="D48" s="188">
        <v>17</v>
      </c>
      <c r="E48" s="188">
        <v>0</v>
      </c>
      <c r="F48" s="188">
        <v>4</v>
      </c>
      <c r="G48" s="188">
        <v>88</v>
      </c>
      <c r="H48" s="188">
        <v>1</v>
      </c>
      <c r="I48" s="188">
        <v>0</v>
      </c>
      <c r="J48" s="188">
        <v>0</v>
      </c>
      <c r="K48" s="188">
        <v>3</v>
      </c>
      <c r="L48" s="188">
        <v>29</v>
      </c>
      <c r="M48" s="188">
        <v>0</v>
      </c>
    </row>
    <row r="49" spans="1:13" s="182" customFormat="1" ht="18.600000000000001" customHeight="1">
      <c r="A49" s="186" t="s">
        <v>46</v>
      </c>
      <c r="B49" s="185">
        <f t="shared" ref="B49:J49" si="12">SUM(B50:B52)</f>
        <v>0</v>
      </c>
      <c r="C49" s="185">
        <f t="shared" si="12"/>
        <v>0</v>
      </c>
      <c r="D49" s="185">
        <f t="shared" si="12"/>
        <v>2</v>
      </c>
      <c r="E49" s="185">
        <f t="shared" si="12"/>
        <v>0</v>
      </c>
      <c r="F49" s="185">
        <f t="shared" si="12"/>
        <v>4</v>
      </c>
      <c r="G49" s="185">
        <f t="shared" si="12"/>
        <v>32</v>
      </c>
      <c r="H49" s="185">
        <f t="shared" si="12"/>
        <v>1</v>
      </c>
      <c r="I49" s="185">
        <f t="shared" si="12"/>
        <v>0</v>
      </c>
      <c r="J49" s="185">
        <f t="shared" si="12"/>
        <v>0</v>
      </c>
      <c r="K49" s="185">
        <f>SUM(K50:K52)</f>
        <v>0</v>
      </c>
      <c r="L49" s="185">
        <f>SUM(L50:L52)</f>
        <v>33</v>
      </c>
      <c r="M49" s="185">
        <f>SUM(M50:M52)</f>
        <v>2</v>
      </c>
    </row>
    <row r="50" spans="1:13" s="182" customFormat="1" ht="18.600000000000001" customHeight="1">
      <c r="A50" s="187" t="s">
        <v>48</v>
      </c>
      <c r="B50" s="188">
        <v>0</v>
      </c>
      <c r="C50" s="188">
        <v>0</v>
      </c>
      <c r="D50" s="188">
        <v>1</v>
      </c>
      <c r="E50" s="188">
        <v>0</v>
      </c>
      <c r="F50" s="188">
        <v>2</v>
      </c>
      <c r="G50" s="188">
        <v>16</v>
      </c>
      <c r="H50" s="188">
        <v>0</v>
      </c>
      <c r="I50" s="188">
        <v>0</v>
      </c>
      <c r="J50" s="188">
        <v>0</v>
      </c>
      <c r="K50" s="188">
        <v>0</v>
      </c>
      <c r="L50" s="188">
        <v>14</v>
      </c>
      <c r="M50" s="188">
        <v>1</v>
      </c>
    </row>
    <row r="51" spans="1:13" s="182" customFormat="1" ht="18.600000000000001" customHeight="1">
      <c r="A51" s="187" t="s">
        <v>49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1</v>
      </c>
      <c r="I51" s="188">
        <v>0</v>
      </c>
      <c r="J51" s="188">
        <v>0</v>
      </c>
      <c r="K51" s="188">
        <v>0</v>
      </c>
      <c r="L51" s="188">
        <v>10</v>
      </c>
      <c r="M51" s="188">
        <v>0</v>
      </c>
    </row>
    <row r="52" spans="1:13" s="182" customFormat="1" ht="18.600000000000001" customHeight="1">
      <c r="A52" s="187" t="s">
        <v>47</v>
      </c>
      <c r="B52" s="188">
        <v>0</v>
      </c>
      <c r="C52" s="188">
        <v>0</v>
      </c>
      <c r="D52" s="188">
        <v>1</v>
      </c>
      <c r="E52" s="188">
        <v>0</v>
      </c>
      <c r="F52" s="188">
        <v>2</v>
      </c>
      <c r="G52" s="188">
        <v>16</v>
      </c>
      <c r="H52" s="188">
        <v>0</v>
      </c>
      <c r="I52" s="188">
        <v>0</v>
      </c>
      <c r="J52" s="188">
        <v>0</v>
      </c>
      <c r="K52" s="188">
        <v>0</v>
      </c>
      <c r="L52" s="188">
        <v>9</v>
      </c>
      <c r="M52" s="188">
        <v>1</v>
      </c>
    </row>
    <row r="53" spans="1:13" s="182" customFormat="1" ht="18.600000000000001" customHeight="1">
      <c r="A53" s="186" t="s">
        <v>54</v>
      </c>
      <c r="B53" s="193">
        <f t="shared" ref="B53:M53" si="13">SUM(B54:B55)</f>
        <v>4</v>
      </c>
      <c r="C53" s="193">
        <f t="shared" si="13"/>
        <v>426</v>
      </c>
      <c r="D53" s="193">
        <f t="shared" si="13"/>
        <v>19</v>
      </c>
      <c r="E53" s="193">
        <f t="shared" si="13"/>
        <v>0</v>
      </c>
      <c r="F53" s="193">
        <f t="shared" si="13"/>
        <v>5</v>
      </c>
      <c r="G53" s="193">
        <f t="shared" si="13"/>
        <v>70</v>
      </c>
      <c r="H53" s="193">
        <f t="shared" si="13"/>
        <v>7</v>
      </c>
      <c r="I53" s="193">
        <f t="shared" si="13"/>
        <v>0</v>
      </c>
      <c r="J53" s="193">
        <f t="shared" si="13"/>
        <v>2</v>
      </c>
      <c r="K53" s="193">
        <f t="shared" si="13"/>
        <v>2</v>
      </c>
      <c r="L53" s="193">
        <f>SUM(L54:L55)</f>
        <v>30</v>
      </c>
      <c r="M53" s="193">
        <f t="shared" si="13"/>
        <v>0</v>
      </c>
    </row>
    <row r="54" spans="1:13" s="182" customFormat="1" ht="18.600000000000001" customHeight="1">
      <c r="A54" s="187" t="s">
        <v>55</v>
      </c>
      <c r="B54" s="194">
        <v>3</v>
      </c>
      <c r="C54" s="194">
        <v>316</v>
      </c>
      <c r="D54" s="194">
        <v>19</v>
      </c>
      <c r="E54" s="194">
        <v>0</v>
      </c>
      <c r="F54" s="194">
        <v>3</v>
      </c>
      <c r="G54" s="194">
        <v>42</v>
      </c>
      <c r="H54" s="194">
        <v>4</v>
      </c>
      <c r="I54" s="194">
        <v>0</v>
      </c>
      <c r="J54" s="194">
        <v>1</v>
      </c>
      <c r="K54" s="194">
        <v>2</v>
      </c>
      <c r="L54" s="194">
        <v>20</v>
      </c>
      <c r="M54" s="194">
        <v>0</v>
      </c>
    </row>
    <row r="55" spans="1:13" s="182" customFormat="1" ht="18.600000000000001" customHeight="1">
      <c r="A55" s="187" t="s">
        <v>146</v>
      </c>
      <c r="B55" s="194">
        <v>1</v>
      </c>
      <c r="C55" s="194">
        <v>110</v>
      </c>
      <c r="D55" s="194">
        <v>0</v>
      </c>
      <c r="E55" s="194">
        <v>0</v>
      </c>
      <c r="F55" s="194">
        <v>2</v>
      </c>
      <c r="G55" s="194">
        <v>28</v>
      </c>
      <c r="H55" s="194">
        <v>3</v>
      </c>
      <c r="I55" s="194">
        <v>0</v>
      </c>
      <c r="J55" s="194">
        <v>1</v>
      </c>
      <c r="K55" s="194">
        <v>0</v>
      </c>
      <c r="L55" s="194">
        <v>10</v>
      </c>
      <c r="M55" s="194">
        <v>0</v>
      </c>
    </row>
    <row r="56" spans="1:13" s="182" customFormat="1" ht="18.600000000000001" customHeight="1">
      <c r="A56" s="186" t="s">
        <v>66</v>
      </c>
      <c r="B56" s="193">
        <f t="shared" ref="B56:M56" si="14">SUM(B57:B59)</f>
        <v>7</v>
      </c>
      <c r="C56" s="193">
        <f t="shared" si="14"/>
        <v>767</v>
      </c>
      <c r="D56" s="193">
        <f t="shared" si="14"/>
        <v>20</v>
      </c>
      <c r="E56" s="193">
        <f t="shared" si="14"/>
        <v>0</v>
      </c>
      <c r="F56" s="193">
        <f t="shared" si="14"/>
        <v>4</v>
      </c>
      <c r="G56" s="193">
        <f t="shared" si="14"/>
        <v>84</v>
      </c>
      <c r="H56" s="193">
        <f t="shared" si="14"/>
        <v>1</v>
      </c>
      <c r="I56" s="193">
        <f t="shared" si="14"/>
        <v>0</v>
      </c>
      <c r="J56" s="193">
        <f t="shared" si="14"/>
        <v>9</v>
      </c>
      <c r="K56" s="193">
        <f t="shared" si="14"/>
        <v>2</v>
      </c>
      <c r="L56" s="193">
        <f t="shared" si="14"/>
        <v>31</v>
      </c>
      <c r="M56" s="193">
        <f t="shared" si="14"/>
        <v>2</v>
      </c>
    </row>
    <row r="57" spans="1:13" s="182" customFormat="1" ht="18.600000000000001" customHeight="1">
      <c r="A57" s="187" t="s">
        <v>68</v>
      </c>
      <c r="B57" s="194">
        <v>0</v>
      </c>
      <c r="C57" s="194">
        <v>0</v>
      </c>
      <c r="D57" s="195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v>0</v>
      </c>
      <c r="L57" s="195">
        <v>0</v>
      </c>
      <c r="M57" s="195">
        <v>0</v>
      </c>
    </row>
    <row r="58" spans="1:13" s="182" customFormat="1" ht="18.600000000000001" customHeight="1">
      <c r="A58" s="187" t="s">
        <v>69</v>
      </c>
      <c r="B58" s="194">
        <v>3</v>
      </c>
      <c r="C58" s="194">
        <v>196</v>
      </c>
      <c r="D58" s="195">
        <v>1</v>
      </c>
      <c r="E58" s="195">
        <v>0</v>
      </c>
      <c r="F58" s="195">
        <v>0</v>
      </c>
      <c r="G58" s="195">
        <v>0</v>
      </c>
      <c r="H58" s="195">
        <v>0</v>
      </c>
      <c r="I58" s="195">
        <v>0</v>
      </c>
      <c r="J58" s="195">
        <v>2</v>
      </c>
      <c r="K58" s="195">
        <v>2</v>
      </c>
      <c r="L58" s="195">
        <v>7</v>
      </c>
      <c r="M58" s="195">
        <v>1</v>
      </c>
    </row>
    <row r="59" spans="1:13" s="182" customFormat="1" ht="18.600000000000001" customHeight="1">
      <c r="A59" s="187" t="s">
        <v>67</v>
      </c>
      <c r="B59" s="194">
        <v>4</v>
      </c>
      <c r="C59" s="194">
        <v>571</v>
      </c>
      <c r="D59" s="195">
        <v>19</v>
      </c>
      <c r="E59" s="195">
        <v>0</v>
      </c>
      <c r="F59" s="195">
        <v>4</v>
      </c>
      <c r="G59" s="195">
        <v>84</v>
      </c>
      <c r="H59" s="195">
        <v>1</v>
      </c>
      <c r="I59" s="195">
        <v>0</v>
      </c>
      <c r="J59" s="195">
        <v>7</v>
      </c>
      <c r="K59" s="195">
        <v>0</v>
      </c>
      <c r="L59" s="195">
        <v>24</v>
      </c>
      <c r="M59" s="195">
        <v>1</v>
      </c>
    </row>
    <row r="60" spans="1:13" s="182" customFormat="1" ht="18.600000000000001" customHeight="1">
      <c r="A60" s="186" t="s">
        <v>81</v>
      </c>
      <c r="B60" s="193">
        <f t="shared" ref="B60:M60" si="15">SUM(B61:B62)</f>
        <v>6</v>
      </c>
      <c r="C60" s="193">
        <f t="shared" si="15"/>
        <v>460</v>
      </c>
      <c r="D60" s="193">
        <f t="shared" si="15"/>
        <v>9</v>
      </c>
      <c r="E60" s="193">
        <f t="shared" si="15"/>
        <v>0</v>
      </c>
      <c r="F60" s="193">
        <f t="shared" si="15"/>
        <v>5</v>
      </c>
      <c r="G60" s="193">
        <f t="shared" si="15"/>
        <v>50</v>
      </c>
      <c r="H60" s="193">
        <f t="shared" si="15"/>
        <v>0</v>
      </c>
      <c r="I60" s="193">
        <f t="shared" si="15"/>
        <v>0</v>
      </c>
      <c r="J60" s="193">
        <f t="shared" si="15"/>
        <v>2</v>
      </c>
      <c r="K60" s="193">
        <f t="shared" si="15"/>
        <v>0</v>
      </c>
      <c r="L60" s="193">
        <f t="shared" si="15"/>
        <v>20</v>
      </c>
      <c r="M60" s="193">
        <f t="shared" si="15"/>
        <v>0</v>
      </c>
    </row>
    <row r="61" spans="1:13" s="182" customFormat="1" ht="18.600000000000001" customHeight="1">
      <c r="A61" s="187" t="s">
        <v>83</v>
      </c>
      <c r="B61" s="194">
        <v>1</v>
      </c>
      <c r="C61" s="194">
        <v>100</v>
      </c>
      <c r="D61" s="194">
        <v>3</v>
      </c>
      <c r="E61" s="194">
        <v>0</v>
      </c>
      <c r="F61" s="194">
        <v>1</v>
      </c>
      <c r="G61" s="194">
        <v>10</v>
      </c>
      <c r="H61" s="194">
        <v>0</v>
      </c>
      <c r="I61" s="194">
        <v>0</v>
      </c>
      <c r="J61" s="194">
        <v>1</v>
      </c>
      <c r="K61" s="194">
        <v>0</v>
      </c>
      <c r="L61" s="194">
        <v>12</v>
      </c>
      <c r="M61" s="194">
        <v>0</v>
      </c>
    </row>
    <row r="62" spans="1:13" s="182" customFormat="1" ht="18.600000000000001" customHeight="1">
      <c r="A62" s="187" t="s">
        <v>82</v>
      </c>
      <c r="B62" s="194">
        <v>5</v>
      </c>
      <c r="C62" s="194">
        <v>360</v>
      </c>
      <c r="D62" s="194">
        <v>6</v>
      </c>
      <c r="E62" s="194">
        <v>0</v>
      </c>
      <c r="F62" s="194">
        <v>4</v>
      </c>
      <c r="G62" s="194">
        <v>40</v>
      </c>
      <c r="H62" s="194">
        <v>0</v>
      </c>
      <c r="I62" s="194">
        <v>0</v>
      </c>
      <c r="J62" s="194">
        <v>1</v>
      </c>
      <c r="K62" s="194">
        <v>0</v>
      </c>
      <c r="L62" s="194">
        <v>8</v>
      </c>
      <c r="M62" s="194">
        <v>0</v>
      </c>
    </row>
    <row r="63" spans="1:13" s="182" customFormat="1" ht="18.600000000000001" customHeight="1">
      <c r="A63" s="186" t="s">
        <v>38</v>
      </c>
      <c r="B63" s="193">
        <f t="shared" ref="B63:M63" si="16">SUM(B64:B67)</f>
        <v>12</v>
      </c>
      <c r="C63" s="193">
        <f t="shared" si="16"/>
        <v>782</v>
      </c>
      <c r="D63" s="193">
        <f t="shared" si="16"/>
        <v>59</v>
      </c>
      <c r="E63" s="193">
        <f t="shared" si="16"/>
        <v>0</v>
      </c>
      <c r="F63" s="193">
        <f t="shared" si="16"/>
        <v>9</v>
      </c>
      <c r="G63" s="193">
        <f t="shared" si="16"/>
        <v>180</v>
      </c>
      <c r="H63" s="193">
        <f t="shared" si="16"/>
        <v>1</v>
      </c>
      <c r="I63" s="193">
        <f t="shared" si="16"/>
        <v>0</v>
      </c>
      <c r="J63" s="193">
        <f t="shared" si="16"/>
        <v>3</v>
      </c>
      <c r="K63" s="193">
        <f t="shared" si="16"/>
        <v>0</v>
      </c>
      <c r="L63" s="193">
        <f t="shared" si="16"/>
        <v>59</v>
      </c>
      <c r="M63" s="193">
        <f t="shared" si="16"/>
        <v>1</v>
      </c>
    </row>
    <row r="64" spans="1:13" s="182" customFormat="1" ht="18.600000000000001" customHeight="1">
      <c r="A64" s="187" t="s">
        <v>41</v>
      </c>
      <c r="B64" s="194">
        <v>4</v>
      </c>
      <c r="C64" s="194">
        <v>198</v>
      </c>
      <c r="D64" s="194">
        <v>4</v>
      </c>
      <c r="E64" s="194">
        <v>0</v>
      </c>
      <c r="F64" s="194">
        <v>1</v>
      </c>
      <c r="G64" s="194">
        <v>20</v>
      </c>
      <c r="H64" s="194">
        <v>0</v>
      </c>
      <c r="I64" s="194">
        <v>0</v>
      </c>
      <c r="J64" s="194">
        <v>1</v>
      </c>
      <c r="K64" s="194">
        <v>0</v>
      </c>
      <c r="L64" s="194">
        <v>15</v>
      </c>
      <c r="M64" s="194">
        <v>0</v>
      </c>
    </row>
    <row r="65" spans="1:13" s="182" customFormat="1" ht="18.600000000000001" customHeight="1">
      <c r="A65" s="187" t="s">
        <v>42</v>
      </c>
      <c r="B65" s="194">
        <v>0</v>
      </c>
      <c r="C65" s="194">
        <v>0</v>
      </c>
      <c r="D65" s="194">
        <v>0</v>
      </c>
      <c r="E65" s="194">
        <v>0</v>
      </c>
      <c r="F65" s="194">
        <v>0</v>
      </c>
      <c r="G65" s="194">
        <v>0</v>
      </c>
      <c r="H65" s="194">
        <v>0</v>
      </c>
      <c r="I65" s="194">
        <v>0</v>
      </c>
      <c r="J65" s="194">
        <v>0</v>
      </c>
      <c r="K65" s="194">
        <v>0</v>
      </c>
      <c r="L65" s="194">
        <v>10</v>
      </c>
      <c r="M65" s="194">
        <v>0</v>
      </c>
    </row>
    <row r="66" spans="1:13" s="182" customFormat="1" ht="18.600000000000001" customHeight="1">
      <c r="A66" s="187" t="s">
        <v>39</v>
      </c>
      <c r="B66" s="194">
        <v>6</v>
      </c>
      <c r="C66" s="194">
        <v>558</v>
      </c>
      <c r="D66" s="194">
        <v>36</v>
      </c>
      <c r="E66" s="194">
        <v>0</v>
      </c>
      <c r="F66" s="194">
        <v>7</v>
      </c>
      <c r="G66" s="194">
        <v>140</v>
      </c>
      <c r="H66" s="194">
        <v>1</v>
      </c>
      <c r="I66" s="194">
        <v>0</v>
      </c>
      <c r="J66" s="194">
        <v>2</v>
      </c>
      <c r="K66" s="194">
        <v>0</v>
      </c>
      <c r="L66" s="194">
        <v>21</v>
      </c>
      <c r="M66" s="194">
        <v>1</v>
      </c>
    </row>
    <row r="67" spans="1:13" s="182" customFormat="1" ht="18.600000000000001" customHeight="1">
      <c r="A67" s="187" t="s">
        <v>40</v>
      </c>
      <c r="B67" s="194">
        <v>2</v>
      </c>
      <c r="C67" s="194">
        <v>26</v>
      </c>
      <c r="D67" s="194">
        <v>19</v>
      </c>
      <c r="E67" s="194">
        <v>0</v>
      </c>
      <c r="F67" s="194">
        <v>1</v>
      </c>
      <c r="G67" s="194">
        <v>20</v>
      </c>
      <c r="H67" s="194">
        <v>0</v>
      </c>
      <c r="I67" s="194">
        <v>0</v>
      </c>
      <c r="J67" s="194">
        <v>0</v>
      </c>
      <c r="K67" s="194">
        <v>0</v>
      </c>
      <c r="L67" s="194">
        <v>13</v>
      </c>
      <c r="M67" s="194">
        <v>0</v>
      </c>
    </row>
    <row r="68" spans="1:13" s="182" customFormat="1" ht="18.600000000000001" customHeight="1">
      <c r="A68" s="186" t="s">
        <v>19</v>
      </c>
      <c r="B68" s="193">
        <f t="shared" ref="B68:M68" si="17">SUM(B69:B70)</f>
        <v>8</v>
      </c>
      <c r="C68" s="193">
        <f t="shared" si="17"/>
        <v>752</v>
      </c>
      <c r="D68" s="193">
        <f t="shared" si="17"/>
        <v>18</v>
      </c>
      <c r="E68" s="193">
        <f t="shared" si="17"/>
        <v>0</v>
      </c>
      <c r="F68" s="193">
        <f t="shared" si="17"/>
        <v>4</v>
      </c>
      <c r="G68" s="193">
        <f t="shared" si="17"/>
        <v>74</v>
      </c>
      <c r="H68" s="193">
        <f t="shared" si="17"/>
        <v>1</v>
      </c>
      <c r="I68" s="193">
        <f t="shared" si="17"/>
        <v>0</v>
      </c>
      <c r="J68" s="193">
        <f t="shared" si="17"/>
        <v>2</v>
      </c>
      <c r="K68" s="193">
        <f t="shared" si="17"/>
        <v>0</v>
      </c>
      <c r="L68" s="193">
        <f t="shared" si="17"/>
        <v>49</v>
      </c>
      <c r="M68" s="193">
        <f t="shared" si="17"/>
        <v>1</v>
      </c>
    </row>
    <row r="69" spans="1:13" s="182" customFormat="1" ht="18.600000000000001" customHeight="1">
      <c r="A69" s="187" t="s">
        <v>20</v>
      </c>
      <c r="B69" s="195">
        <v>6</v>
      </c>
      <c r="C69" s="195">
        <v>604</v>
      </c>
      <c r="D69" s="194">
        <v>16</v>
      </c>
      <c r="E69" s="194">
        <v>0</v>
      </c>
      <c r="F69" s="194">
        <v>3</v>
      </c>
      <c r="G69" s="194">
        <v>52</v>
      </c>
      <c r="H69" s="194">
        <v>1</v>
      </c>
      <c r="I69" s="194">
        <v>0</v>
      </c>
      <c r="J69" s="194">
        <v>1</v>
      </c>
      <c r="K69" s="194">
        <v>0</v>
      </c>
      <c r="L69" s="195">
        <v>35</v>
      </c>
      <c r="M69" s="194">
        <v>1</v>
      </c>
    </row>
    <row r="70" spans="1:13" s="182" customFormat="1" ht="18.600000000000001" customHeight="1">
      <c r="A70" s="187" t="s">
        <v>21</v>
      </c>
      <c r="B70" s="194">
        <v>2</v>
      </c>
      <c r="C70" s="194">
        <v>148</v>
      </c>
      <c r="D70" s="194">
        <v>2</v>
      </c>
      <c r="E70" s="194">
        <v>0</v>
      </c>
      <c r="F70" s="194">
        <v>1</v>
      </c>
      <c r="G70" s="194">
        <v>22</v>
      </c>
      <c r="H70" s="194">
        <v>0</v>
      </c>
      <c r="I70" s="194">
        <v>0</v>
      </c>
      <c r="J70" s="194">
        <v>1</v>
      </c>
      <c r="K70" s="194">
        <v>0</v>
      </c>
      <c r="L70" s="195">
        <v>14</v>
      </c>
      <c r="M70" s="194">
        <v>0</v>
      </c>
    </row>
    <row r="71" spans="1:13" s="182" customFormat="1" ht="18.600000000000001" customHeight="1">
      <c r="A71" s="186" t="s">
        <v>14</v>
      </c>
      <c r="B71" s="193">
        <f t="shared" ref="B71:M71" si="18">SUM(B72)</f>
        <v>8</v>
      </c>
      <c r="C71" s="193">
        <f t="shared" si="18"/>
        <v>824</v>
      </c>
      <c r="D71" s="193">
        <f t="shared" si="18"/>
        <v>16</v>
      </c>
      <c r="E71" s="193">
        <f t="shared" si="18"/>
        <v>12</v>
      </c>
      <c r="F71" s="193">
        <f t="shared" si="18"/>
        <v>7</v>
      </c>
      <c r="G71" s="193">
        <f t="shared" si="18"/>
        <v>98</v>
      </c>
      <c r="H71" s="193">
        <f t="shared" si="18"/>
        <v>1</v>
      </c>
      <c r="I71" s="193">
        <f t="shared" si="18"/>
        <v>0</v>
      </c>
      <c r="J71" s="193">
        <f t="shared" si="18"/>
        <v>2</v>
      </c>
      <c r="K71" s="193">
        <f t="shared" si="18"/>
        <v>1</v>
      </c>
      <c r="L71" s="193">
        <f t="shared" si="18"/>
        <v>28</v>
      </c>
      <c r="M71" s="193">
        <f t="shared" si="18"/>
        <v>0</v>
      </c>
    </row>
    <row r="72" spans="1:13" s="182" customFormat="1" ht="18.600000000000001" customHeight="1">
      <c r="A72" s="187" t="s">
        <v>15</v>
      </c>
      <c r="B72" s="194">
        <v>8</v>
      </c>
      <c r="C72" s="194">
        <v>824</v>
      </c>
      <c r="D72" s="195">
        <v>16</v>
      </c>
      <c r="E72" s="195">
        <v>12</v>
      </c>
      <c r="F72" s="194">
        <v>7</v>
      </c>
      <c r="G72" s="194">
        <v>98</v>
      </c>
      <c r="H72" s="194">
        <v>1</v>
      </c>
      <c r="I72" s="194">
        <v>0</v>
      </c>
      <c r="J72" s="194">
        <v>2</v>
      </c>
      <c r="K72" s="194">
        <v>1</v>
      </c>
      <c r="L72" s="194">
        <v>28</v>
      </c>
      <c r="M72" s="194">
        <v>0</v>
      </c>
    </row>
    <row r="73" spans="1:13" s="182" customFormat="1" ht="18.600000000000001" customHeight="1">
      <c r="A73" s="186" t="s">
        <v>12</v>
      </c>
      <c r="B73" s="193">
        <f t="shared" ref="B73:M73" si="19">SUM(B74)</f>
        <v>21</v>
      </c>
      <c r="C73" s="193">
        <f t="shared" si="19"/>
        <v>5253</v>
      </c>
      <c r="D73" s="193">
        <f t="shared" si="19"/>
        <v>58</v>
      </c>
      <c r="E73" s="193">
        <f t="shared" si="19"/>
        <v>0</v>
      </c>
      <c r="F73" s="193">
        <f t="shared" si="19"/>
        <v>4</v>
      </c>
      <c r="G73" s="193">
        <f t="shared" si="19"/>
        <v>62</v>
      </c>
      <c r="H73" s="193">
        <f t="shared" si="19"/>
        <v>5</v>
      </c>
      <c r="I73" s="193">
        <f t="shared" si="19"/>
        <v>52</v>
      </c>
      <c r="J73" s="193">
        <f t="shared" si="19"/>
        <v>4</v>
      </c>
      <c r="K73" s="193">
        <f t="shared" si="19"/>
        <v>0</v>
      </c>
      <c r="L73" s="193">
        <f t="shared" si="19"/>
        <v>54</v>
      </c>
      <c r="M73" s="193">
        <f t="shared" si="19"/>
        <v>1</v>
      </c>
    </row>
    <row r="74" spans="1:13" s="182" customFormat="1" ht="18.600000000000001" customHeight="1">
      <c r="A74" s="187" t="s">
        <v>13</v>
      </c>
      <c r="B74" s="195">
        <v>21</v>
      </c>
      <c r="C74" s="195">
        <v>5253</v>
      </c>
      <c r="D74" s="195">
        <v>58</v>
      </c>
      <c r="E74" s="195">
        <v>0</v>
      </c>
      <c r="F74" s="195">
        <v>4</v>
      </c>
      <c r="G74" s="195">
        <v>62</v>
      </c>
      <c r="H74" s="195">
        <v>5</v>
      </c>
      <c r="I74" s="195">
        <v>52</v>
      </c>
      <c r="J74" s="195">
        <v>4</v>
      </c>
      <c r="K74" s="195">
        <v>0</v>
      </c>
      <c r="L74" s="194">
        <v>54</v>
      </c>
      <c r="M74" s="195">
        <v>1</v>
      </c>
    </row>
    <row r="75" spans="1:13" ht="13.5" customHeight="1">
      <c r="A75" s="190"/>
      <c r="B75" s="196"/>
      <c r="C75" s="196"/>
      <c r="D75" s="196"/>
      <c r="E75" s="196"/>
      <c r="F75" s="191"/>
      <c r="G75" s="191"/>
      <c r="H75" s="191"/>
      <c r="I75" s="191"/>
      <c r="J75" s="191"/>
      <c r="K75" s="191"/>
      <c r="L75" s="196"/>
      <c r="M75" s="294" t="s">
        <v>90</v>
      </c>
    </row>
    <row r="76" spans="1:13" s="182" customFormat="1" ht="60" customHeight="1">
      <c r="A76" s="263" t="s">
        <v>282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</row>
    <row r="77" spans="1:13" s="182" customFormat="1" ht="13.5" customHeight="1">
      <c r="A77" s="182" t="s">
        <v>279</v>
      </c>
      <c r="F77" s="203" t="s">
        <v>175</v>
      </c>
      <c r="G77" s="260"/>
      <c r="H77" s="260"/>
      <c r="L77" s="264" t="s">
        <v>89</v>
      </c>
      <c r="M77" s="264"/>
    </row>
    <row r="78" spans="1:13" s="182" customFormat="1" ht="22.5" customHeight="1">
      <c r="A78" s="265" t="s">
        <v>7</v>
      </c>
      <c r="B78" s="265" t="s">
        <v>1</v>
      </c>
      <c r="C78" s="265"/>
      <c r="D78" s="265" t="s">
        <v>4</v>
      </c>
      <c r="E78" s="265"/>
      <c r="F78" s="265" t="s">
        <v>5</v>
      </c>
      <c r="G78" s="265"/>
      <c r="H78" s="265" t="s">
        <v>6</v>
      </c>
      <c r="I78" s="265"/>
      <c r="J78" s="266" t="s">
        <v>8</v>
      </c>
      <c r="K78" s="266" t="s">
        <v>9</v>
      </c>
      <c r="L78" s="266" t="s">
        <v>11</v>
      </c>
      <c r="M78" s="266" t="s">
        <v>10</v>
      </c>
    </row>
    <row r="79" spans="1:13" s="182" customFormat="1" ht="22.5" customHeight="1">
      <c r="A79" s="265"/>
      <c r="B79" s="183" t="s">
        <v>2</v>
      </c>
      <c r="C79" s="183" t="s">
        <v>3</v>
      </c>
      <c r="D79" s="183" t="s">
        <v>2</v>
      </c>
      <c r="E79" s="183" t="s">
        <v>3</v>
      </c>
      <c r="F79" s="183" t="s">
        <v>2</v>
      </c>
      <c r="G79" s="183" t="s">
        <v>3</v>
      </c>
      <c r="H79" s="183" t="s">
        <v>2</v>
      </c>
      <c r="I79" s="183" t="s">
        <v>3</v>
      </c>
      <c r="J79" s="266"/>
      <c r="K79" s="266"/>
      <c r="L79" s="266"/>
      <c r="M79" s="266"/>
    </row>
    <row r="80" spans="1:13" s="182" customFormat="1" ht="18.600000000000001" customHeight="1">
      <c r="A80" s="186" t="s">
        <v>73</v>
      </c>
      <c r="B80" s="193">
        <f t="shared" ref="B80:M80" si="20">SUM(B81:B85)</f>
        <v>5</v>
      </c>
      <c r="C80" s="193">
        <f t="shared" si="20"/>
        <v>292</v>
      </c>
      <c r="D80" s="193">
        <f t="shared" si="20"/>
        <v>12</v>
      </c>
      <c r="E80" s="193">
        <f t="shared" si="20"/>
        <v>0</v>
      </c>
      <c r="F80" s="193">
        <f t="shared" si="20"/>
        <v>0</v>
      </c>
      <c r="G80" s="193">
        <f t="shared" si="20"/>
        <v>0</v>
      </c>
      <c r="H80" s="193">
        <f t="shared" si="20"/>
        <v>5</v>
      </c>
      <c r="I80" s="193">
        <f t="shared" si="20"/>
        <v>0</v>
      </c>
      <c r="J80" s="193">
        <f t="shared" si="20"/>
        <v>1</v>
      </c>
      <c r="K80" s="193">
        <f t="shared" si="20"/>
        <v>0</v>
      </c>
      <c r="L80" s="193">
        <f t="shared" si="20"/>
        <v>15</v>
      </c>
      <c r="M80" s="193">
        <f t="shared" si="20"/>
        <v>0</v>
      </c>
    </row>
    <row r="81" spans="1:13" s="182" customFormat="1" ht="18.600000000000001" customHeight="1">
      <c r="A81" s="187" t="s">
        <v>74</v>
      </c>
      <c r="B81" s="194">
        <v>2</v>
      </c>
      <c r="C81" s="194">
        <v>162</v>
      </c>
      <c r="D81" s="195">
        <v>6</v>
      </c>
      <c r="E81" s="194">
        <v>0</v>
      </c>
      <c r="F81" s="194">
        <v>0</v>
      </c>
      <c r="G81" s="194">
        <v>0</v>
      </c>
      <c r="H81" s="195">
        <v>2</v>
      </c>
      <c r="I81" s="195">
        <v>0</v>
      </c>
      <c r="J81" s="194">
        <v>0</v>
      </c>
      <c r="K81" s="194">
        <v>0</v>
      </c>
      <c r="L81" s="194">
        <v>8</v>
      </c>
      <c r="M81" s="194">
        <v>0</v>
      </c>
    </row>
    <row r="82" spans="1:13" s="182" customFormat="1" ht="18.600000000000001" customHeight="1">
      <c r="A82" s="187" t="s">
        <v>75</v>
      </c>
      <c r="B82" s="194">
        <v>1</v>
      </c>
      <c r="C82" s="194">
        <v>50</v>
      </c>
      <c r="D82" s="195">
        <v>1</v>
      </c>
      <c r="E82" s="194">
        <v>0</v>
      </c>
      <c r="F82" s="194">
        <v>0</v>
      </c>
      <c r="G82" s="194">
        <v>0</v>
      </c>
      <c r="H82" s="195">
        <v>1</v>
      </c>
      <c r="I82" s="195">
        <v>0</v>
      </c>
      <c r="J82" s="194">
        <v>0</v>
      </c>
      <c r="K82" s="194">
        <v>0</v>
      </c>
      <c r="L82" s="194">
        <v>2</v>
      </c>
      <c r="M82" s="194">
        <v>0</v>
      </c>
    </row>
    <row r="83" spans="1:13" s="182" customFormat="1" ht="18.600000000000001" customHeight="1">
      <c r="A83" s="187" t="s">
        <v>76</v>
      </c>
      <c r="B83" s="194">
        <v>1</v>
      </c>
      <c r="C83" s="194">
        <v>20</v>
      </c>
      <c r="D83" s="195">
        <v>0</v>
      </c>
      <c r="E83" s="194">
        <v>0</v>
      </c>
      <c r="F83" s="194">
        <v>0</v>
      </c>
      <c r="G83" s="194">
        <v>0</v>
      </c>
      <c r="H83" s="195">
        <v>1</v>
      </c>
      <c r="I83" s="195">
        <v>0</v>
      </c>
      <c r="J83" s="194">
        <v>1</v>
      </c>
      <c r="K83" s="194">
        <v>0</v>
      </c>
      <c r="L83" s="194">
        <v>0</v>
      </c>
      <c r="M83" s="194">
        <v>0</v>
      </c>
    </row>
    <row r="84" spans="1:13" s="182" customFormat="1" ht="18.600000000000001" customHeight="1">
      <c r="A84" s="187" t="s">
        <v>78</v>
      </c>
      <c r="B84" s="194">
        <v>0</v>
      </c>
      <c r="C84" s="194">
        <v>0</v>
      </c>
      <c r="D84" s="195">
        <v>0</v>
      </c>
      <c r="E84" s="194">
        <v>0</v>
      </c>
      <c r="F84" s="194">
        <v>0</v>
      </c>
      <c r="G84" s="194">
        <v>0</v>
      </c>
      <c r="H84" s="195">
        <v>0</v>
      </c>
      <c r="I84" s="195">
        <v>0</v>
      </c>
      <c r="J84" s="194">
        <v>0</v>
      </c>
      <c r="K84" s="194">
        <v>0</v>
      </c>
      <c r="L84" s="194">
        <v>0</v>
      </c>
      <c r="M84" s="194">
        <v>0</v>
      </c>
    </row>
    <row r="85" spans="1:13" s="182" customFormat="1" ht="18.600000000000001" customHeight="1">
      <c r="A85" s="187" t="s">
        <v>77</v>
      </c>
      <c r="B85" s="194">
        <v>1</v>
      </c>
      <c r="C85" s="194">
        <v>60</v>
      </c>
      <c r="D85" s="195">
        <v>5</v>
      </c>
      <c r="E85" s="194">
        <v>0</v>
      </c>
      <c r="F85" s="194">
        <v>0</v>
      </c>
      <c r="G85" s="194">
        <v>0</v>
      </c>
      <c r="H85" s="195">
        <v>1</v>
      </c>
      <c r="I85" s="195">
        <v>0</v>
      </c>
      <c r="J85" s="194">
        <v>0</v>
      </c>
      <c r="K85" s="194">
        <v>0</v>
      </c>
      <c r="L85" s="194">
        <v>5</v>
      </c>
      <c r="M85" s="194">
        <v>0</v>
      </c>
    </row>
    <row r="86" spans="1:13" s="182" customFormat="1" ht="18.600000000000001" customHeight="1">
      <c r="A86" s="186" t="s">
        <v>22</v>
      </c>
      <c r="B86" s="193">
        <f t="shared" ref="B86:M86" si="21">SUM(B87:B88)</f>
        <v>6</v>
      </c>
      <c r="C86" s="193">
        <f t="shared" si="21"/>
        <v>530</v>
      </c>
      <c r="D86" s="193">
        <f t="shared" si="21"/>
        <v>10</v>
      </c>
      <c r="E86" s="193">
        <f t="shared" si="21"/>
        <v>0</v>
      </c>
      <c r="F86" s="193">
        <f t="shared" si="21"/>
        <v>6</v>
      </c>
      <c r="G86" s="193">
        <f t="shared" si="21"/>
        <v>90</v>
      </c>
      <c r="H86" s="193">
        <f t="shared" si="21"/>
        <v>2</v>
      </c>
      <c r="I86" s="193">
        <f t="shared" si="21"/>
        <v>0</v>
      </c>
      <c r="J86" s="193">
        <f t="shared" si="21"/>
        <v>3</v>
      </c>
      <c r="K86" s="193">
        <f t="shared" si="21"/>
        <v>0</v>
      </c>
      <c r="L86" s="193">
        <f t="shared" si="21"/>
        <v>38</v>
      </c>
      <c r="M86" s="193">
        <f t="shared" si="21"/>
        <v>1</v>
      </c>
    </row>
    <row r="87" spans="1:13" s="182" customFormat="1" ht="18.600000000000001" customHeight="1">
      <c r="A87" s="187" t="s">
        <v>24</v>
      </c>
      <c r="B87" s="195">
        <v>1</v>
      </c>
      <c r="C87" s="195">
        <v>110</v>
      </c>
      <c r="D87" s="194">
        <v>0</v>
      </c>
      <c r="E87" s="194">
        <v>0</v>
      </c>
      <c r="F87" s="194">
        <v>0</v>
      </c>
      <c r="G87" s="194">
        <v>0</v>
      </c>
      <c r="H87" s="194">
        <v>0</v>
      </c>
      <c r="I87" s="194">
        <v>0</v>
      </c>
      <c r="J87" s="194">
        <v>1</v>
      </c>
      <c r="K87" s="194">
        <v>0</v>
      </c>
      <c r="L87" s="194">
        <v>12</v>
      </c>
      <c r="M87" s="194">
        <v>0</v>
      </c>
    </row>
    <row r="88" spans="1:13" s="182" customFormat="1" ht="18.600000000000001" customHeight="1">
      <c r="A88" s="187" t="s">
        <v>23</v>
      </c>
      <c r="B88" s="195">
        <v>5</v>
      </c>
      <c r="C88" s="195">
        <v>420</v>
      </c>
      <c r="D88" s="195">
        <v>10</v>
      </c>
      <c r="E88" s="194">
        <v>0</v>
      </c>
      <c r="F88" s="194">
        <v>6</v>
      </c>
      <c r="G88" s="194">
        <v>90</v>
      </c>
      <c r="H88" s="194">
        <v>2</v>
      </c>
      <c r="I88" s="194">
        <v>0</v>
      </c>
      <c r="J88" s="194">
        <v>2</v>
      </c>
      <c r="K88" s="194">
        <v>0</v>
      </c>
      <c r="L88" s="194">
        <v>26</v>
      </c>
      <c r="M88" s="194">
        <v>1</v>
      </c>
    </row>
    <row r="89" spans="1:13" s="182" customFormat="1" ht="18.600000000000001" customHeight="1">
      <c r="A89" s="186" t="s">
        <v>70</v>
      </c>
      <c r="B89" s="193">
        <f t="shared" ref="B89:M89" si="22">SUM(B90:B91)</f>
        <v>10</v>
      </c>
      <c r="C89" s="197">
        <f t="shared" si="22"/>
        <v>822</v>
      </c>
      <c r="D89" s="193">
        <f t="shared" si="22"/>
        <v>18</v>
      </c>
      <c r="E89" s="193">
        <f t="shared" si="22"/>
        <v>0</v>
      </c>
      <c r="F89" s="193">
        <f t="shared" si="22"/>
        <v>3</v>
      </c>
      <c r="G89" s="193">
        <f t="shared" si="22"/>
        <v>44</v>
      </c>
      <c r="H89" s="193">
        <f t="shared" si="22"/>
        <v>1</v>
      </c>
      <c r="I89" s="193">
        <f t="shared" si="22"/>
        <v>0</v>
      </c>
      <c r="J89" s="193">
        <f t="shared" si="22"/>
        <v>3</v>
      </c>
      <c r="K89" s="193">
        <f t="shared" si="22"/>
        <v>0</v>
      </c>
      <c r="L89" s="193">
        <f t="shared" si="22"/>
        <v>41</v>
      </c>
      <c r="M89" s="193">
        <f t="shared" si="22"/>
        <v>3</v>
      </c>
    </row>
    <row r="90" spans="1:13" s="182" customFormat="1" ht="18.600000000000001" customHeight="1">
      <c r="A90" s="187" t="s">
        <v>72</v>
      </c>
      <c r="B90" s="195">
        <v>1</v>
      </c>
      <c r="C90" s="195">
        <v>110</v>
      </c>
      <c r="D90" s="195">
        <v>3</v>
      </c>
      <c r="E90" s="194">
        <v>0</v>
      </c>
      <c r="F90" s="194">
        <v>1</v>
      </c>
      <c r="G90" s="194">
        <v>10</v>
      </c>
      <c r="H90" s="194">
        <v>0</v>
      </c>
      <c r="I90" s="194">
        <v>0</v>
      </c>
      <c r="J90" s="194">
        <v>0</v>
      </c>
      <c r="K90" s="194">
        <v>0</v>
      </c>
      <c r="L90" s="194">
        <v>11</v>
      </c>
      <c r="M90" s="194">
        <v>1</v>
      </c>
    </row>
    <row r="91" spans="1:13" s="182" customFormat="1" ht="18.600000000000001" customHeight="1">
      <c r="A91" s="187" t="s">
        <v>71</v>
      </c>
      <c r="B91" s="194">
        <v>9</v>
      </c>
      <c r="C91" s="195">
        <v>712</v>
      </c>
      <c r="D91" s="195">
        <v>15</v>
      </c>
      <c r="E91" s="194">
        <v>0</v>
      </c>
      <c r="F91" s="194">
        <v>2</v>
      </c>
      <c r="G91" s="194">
        <v>34</v>
      </c>
      <c r="H91" s="194">
        <v>1</v>
      </c>
      <c r="I91" s="194">
        <v>0</v>
      </c>
      <c r="J91" s="194">
        <v>3</v>
      </c>
      <c r="K91" s="194">
        <v>0</v>
      </c>
      <c r="L91" s="194">
        <v>30</v>
      </c>
      <c r="M91" s="194">
        <v>2</v>
      </c>
    </row>
    <row r="92" spans="1:13" s="182" customFormat="1" ht="18.600000000000001" customHeight="1">
      <c r="A92" s="186" t="s">
        <v>50</v>
      </c>
      <c r="B92" s="193">
        <f t="shared" ref="B92:M92" si="23">SUM(B93)</f>
        <v>5</v>
      </c>
      <c r="C92" s="193">
        <f t="shared" si="23"/>
        <v>198</v>
      </c>
      <c r="D92" s="193">
        <f t="shared" si="23"/>
        <v>46</v>
      </c>
      <c r="E92" s="193">
        <f t="shared" si="23"/>
        <v>0</v>
      </c>
      <c r="F92" s="193">
        <f t="shared" si="23"/>
        <v>3</v>
      </c>
      <c r="G92" s="193">
        <f t="shared" si="23"/>
        <v>54</v>
      </c>
      <c r="H92" s="193">
        <f t="shared" si="23"/>
        <v>5</v>
      </c>
      <c r="I92" s="193">
        <f t="shared" si="23"/>
        <v>0</v>
      </c>
      <c r="J92" s="193">
        <f t="shared" si="23"/>
        <v>1</v>
      </c>
      <c r="K92" s="193">
        <f t="shared" si="23"/>
        <v>2</v>
      </c>
      <c r="L92" s="193">
        <f t="shared" si="23"/>
        <v>23</v>
      </c>
      <c r="M92" s="193">
        <f t="shared" si="23"/>
        <v>0</v>
      </c>
    </row>
    <row r="93" spans="1:13" s="182" customFormat="1" ht="18.600000000000001" customHeight="1">
      <c r="A93" s="187" t="s">
        <v>51</v>
      </c>
      <c r="B93" s="194">
        <v>5</v>
      </c>
      <c r="C93" s="194">
        <v>198</v>
      </c>
      <c r="D93" s="194">
        <v>46</v>
      </c>
      <c r="E93" s="194">
        <v>0</v>
      </c>
      <c r="F93" s="194">
        <v>3</v>
      </c>
      <c r="G93" s="194">
        <v>54</v>
      </c>
      <c r="H93" s="194">
        <v>5</v>
      </c>
      <c r="I93" s="194">
        <v>0</v>
      </c>
      <c r="J93" s="194">
        <v>1</v>
      </c>
      <c r="K93" s="194">
        <v>2</v>
      </c>
      <c r="L93" s="194">
        <v>23</v>
      </c>
      <c r="M93" s="194">
        <v>0</v>
      </c>
    </row>
    <row r="94" spans="1:13" s="182" customFormat="1" ht="18.600000000000001" customHeight="1">
      <c r="A94" s="186" t="s">
        <v>63</v>
      </c>
      <c r="B94" s="193">
        <f t="shared" ref="B94:M94" si="24">SUM(B95:B96)</f>
        <v>5</v>
      </c>
      <c r="C94" s="193">
        <f t="shared" si="24"/>
        <v>486</v>
      </c>
      <c r="D94" s="193">
        <f t="shared" si="24"/>
        <v>11</v>
      </c>
      <c r="E94" s="193">
        <f t="shared" si="24"/>
        <v>0</v>
      </c>
      <c r="F94" s="193">
        <f t="shared" si="24"/>
        <v>3</v>
      </c>
      <c r="G94" s="193">
        <f t="shared" si="24"/>
        <v>60</v>
      </c>
      <c r="H94" s="193">
        <f t="shared" si="24"/>
        <v>1</v>
      </c>
      <c r="I94" s="193">
        <f t="shared" si="24"/>
        <v>0</v>
      </c>
      <c r="J94" s="193">
        <f t="shared" si="24"/>
        <v>1</v>
      </c>
      <c r="K94" s="193">
        <f t="shared" si="24"/>
        <v>2</v>
      </c>
      <c r="L94" s="193">
        <f t="shared" si="24"/>
        <v>31</v>
      </c>
      <c r="M94" s="193">
        <f t="shared" si="24"/>
        <v>3</v>
      </c>
    </row>
    <row r="95" spans="1:13" s="182" customFormat="1" ht="18.600000000000001" customHeight="1">
      <c r="A95" s="187" t="s">
        <v>64</v>
      </c>
      <c r="B95" s="195">
        <v>4</v>
      </c>
      <c r="C95" s="195">
        <v>426</v>
      </c>
      <c r="D95" s="195">
        <v>7</v>
      </c>
      <c r="E95" s="195">
        <v>0</v>
      </c>
      <c r="F95" s="194">
        <v>3</v>
      </c>
      <c r="G95" s="194">
        <v>60</v>
      </c>
      <c r="H95" s="194">
        <v>1</v>
      </c>
      <c r="I95" s="194">
        <v>0</v>
      </c>
      <c r="J95" s="194">
        <v>0</v>
      </c>
      <c r="K95" s="194">
        <v>1</v>
      </c>
      <c r="L95" s="195">
        <v>19</v>
      </c>
      <c r="M95" s="195">
        <v>2</v>
      </c>
    </row>
    <row r="96" spans="1:13" s="182" customFormat="1" ht="18.600000000000001" customHeight="1">
      <c r="A96" s="187" t="s">
        <v>65</v>
      </c>
      <c r="B96" s="195">
        <v>1</v>
      </c>
      <c r="C96" s="195">
        <v>60</v>
      </c>
      <c r="D96" s="195">
        <v>4</v>
      </c>
      <c r="E96" s="195">
        <v>0</v>
      </c>
      <c r="F96" s="194">
        <v>0</v>
      </c>
      <c r="G96" s="194">
        <v>0</v>
      </c>
      <c r="H96" s="194">
        <v>0</v>
      </c>
      <c r="I96" s="194">
        <v>0</v>
      </c>
      <c r="J96" s="194">
        <v>1</v>
      </c>
      <c r="K96" s="194">
        <v>1</v>
      </c>
      <c r="L96" s="195">
        <v>12</v>
      </c>
      <c r="M96" s="195">
        <v>1</v>
      </c>
    </row>
    <row r="97" spans="1:13" s="182" customFormat="1" ht="18.600000000000001" customHeight="1">
      <c r="A97" s="186" t="s">
        <v>185</v>
      </c>
      <c r="B97" s="198">
        <v>4</v>
      </c>
      <c r="C97" s="198">
        <v>503</v>
      </c>
      <c r="D97" s="198">
        <v>8</v>
      </c>
      <c r="E97" s="199">
        <v>0</v>
      </c>
      <c r="F97" s="199">
        <v>2</v>
      </c>
      <c r="G97" s="199">
        <v>40</v>
      </c>
      <c r="H97" s="199">
        <v>3</v>
      </c>
      <c r="I97" s="199">
        <v>0</v>
      </c>
      <c r="J97" s="199">
        <v>0</v>
      </c>
      <c r="K97" s="199">
        <v>0</v>
      </c>
      <c r="L97" s="199">
        <v>19</v>
      </c>
      <c r="M97" s="199">
        <v>0</v>
      </c>
    </row>
    <row r="98" spans="1:13" s="182" customFormat="1" ht="18.600000000000001" customHeight="1">
      <c r="A98" s="186" t="s">
        <v>179</v>
      </c>
      <c r="B98" s="199">
        <v>5</v>
      </c>
      <c r="C98" s="199">
        <v>190</v>
      </c>
      <c r="D98" s="199">
        <v>26</v>
      </c>
      <c r="E98" s="199">
        <v>0</v>
      </c>
      <c r="F98" s="199">
        <v>0</v>
      </c>
      <c r="G98" s="199">
        <v>0</v>
      </c>
      <c r="H98" s="199">
        <v>4</v>
      </c>
      <c r="I98" s="199">
        <v>0</v>
      </c>
      <c r="J98" s="199">
        <v>2</v>
      </c>
      <c r="K98" s="199">
        <v>0</v>
      </c>
      <c r="L98" s="199">
        <v>13</v>
      </c>
      <c r="M98" s="199">
        <v>0</v>
      </c>
    </row>
    <row r="99" spans="1:13" s="182" customFormat="1" ht="18.600000000000001" customHeight="1">
      <c r="A99" s="186" t="s">
        <v>180</v>
      </c>
      <c r="B99" s="199">
        <v>4</v>
      </c>
      <c r="C99" s="199">
        <v>332</v>
      </c>
      <c r="D99" s="199">
        <v>47</v>
      </c>
      <c r="E99" s="199">
        <v>0</v>
      </c>
      <c r="F99" s="199">
        <v>0</v>
      </c>
      <c r="G99" s="199">
        <v>0</v>
      </c>
      <c r="H99" s="199">
        <v>3</v>
      </c>
      <c r="I99" s="199">
        <v>0</v>
      </c>
      <c r="J99" s="199">
        <v>1</v>
      </c>
      <c r="K99" s="199">
        <v>0</v>
      </c>
      <c r="L99" s="199">
        <v>22</v>
      </c>
      <c r="M99" s="199">
        <v>0</v>
      </c>
    </row>
    <row r="100" spans="1:13" s="182" customFormat="1" ht="18.600000000000001" customHeight="1">
      <c r="A100" s="186" t="s">
        <v>181</v>
      </c>
      <c r="B100" s="199">
        <v>2</v>
      </c>
      <c r="C100" s="198">
        <v>118</v>
      </c>
      <c r="D100" s="198">
        <v>19</v>
      </c>
      <c r="E100" s="199">
        <v>0</v>
      </c>
      <c r="F100" s="199">
        <v>3</v>
      </c>
      <c r="G100" s="199">
        <v>16</v>
      </c>
      <c r="H100" s="199">
        <v>3</v>
      </c>
      <c r="I100" s="199">
        <v>0</v>
      </c>
      <c r="J100" s="199">
        <v>0</v>
      </c>
      <c r="K100" s="199">
        <v>0</v>
      </c>
      <c r="L100" s="199">
        <v>25</v>
      </c>
      <c r="M100" s="199">
        <v>0</v>
      </c>
    </row>
    <row r="101" spans="1:13" s="182" customFormat="1" ht="18.600000000000001" customHeight="1">
      <c r="A101" s="186" t="s">
        <v>182</v>
      </c>
      <c r="B101" s="199">
        <v>5</v>
      </c>
      <c r="C101" s="199">
        <v>228</v>
      </c>
      <c r="D101" s="199">
        <v>30</v>
      </c>
      <c r="E101" s="199">
        <v>0</v>
      </c>
      <c r="F101" s="199">
        <v>1</v>
      </c>
      <c r="G101" s="199">
        <v>18</v>
      </c>
      <c r="H101" s="199">
        <v>6</v>
      </c>
      <c r="I101" s="199">
        <v>0</v>
      </c>
      <c r="J101" s="199">
        <v>0</v>
      </c>
      <c r="K101" s="199">
        <v>0</v>
      </c>
      <c r="L101" s="199">
        <v>23</v>
      </c>
      <c r="M101" s="199">
        <v>0</v>
      </c>
    </row>
    <row r="102" spans="1:13" s="182" customFormat="1" ht="18.600000000000001" customHeight="1">
      <c r="A102" s="186" t="s">
        <v>183</v>
      </c>
      <c r="B102" s="199">
        <v>9</v>
      </c>
      <c r="C102" s="199">
        <v>330</v>
      </c>
      <c r="D102" s="199">
        <v>191</v>
      </c>
      <c r="E102" s="199">
        <v>0</v>
      </c>
      <c r="F102" s="199">
        <v>1</v>
      </c>
      <c r="G102" s="199">
        <v>8</v>
      </c>
      <c r="H102" s="199">
        <v>5</v>
      </c>
      <c r="I102" s="199">
        <v>0</v>
      </c>
      <c r="J102" s="199">
        <v>79</v>
      </c>
      <c r="K102" s="199">
        <v>0</v>
      </c>
      <c r="L102" s="199">
        <v>16</v>
      </c>
      <c r="M102" s="199">
        <v>0</v>
      </c>
    </row>
    <row r="103" spans="1:13" s="182" customFormat="1" ht="18.600000000000001" customHeight="1">
      <c r="A103" s="186" t="s">
        <v>184</v>
      </c>
      <c r="B103" s="199">
        <v>10</v>
      </c>
      <c r="C103" s="199">
        <v>360</v>
      </c>
      <c r="D103" s="199">
        <v>56</v>
      </c>
      <c r="E103" s="199">
        <v>0</v>
      </c>
      <c r="F103" s="199">
        <v>0</v>
      </c>
      <c r="G103" s="199">
        <v>0</v>
      </c>
      <c r="H103" s="199">
        <v>4</v>
      </c>
      <c r="I103" s="199">
        <v>0</v>
      </c>
      <c r="J103" s="199">
        <v>2</v>
      </c>
      <c r="K103" s="199">
        <v>0</v>
      </c>
      <c r="L103" s="199">
        <v>16</v>
      </c>
      <c r="M103" s="199">
        <v>0</v>
      </c>
    </row>
    <row r="104" spans="1:13" s="202" customFormat="1" ht="13.15" customHeight="1">
      <c r="A104" s="200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192" t="s">
        <v>90</v>
      </c>
    </row>
    <row r="105" spans="1:13" ht="60" customHeight="1">
      <c r="A105" s="263" t="s">
        <v>282</v>
      </c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</row>
    <row r="106" spans="1:13" s="202" customFormat="1" ht="13.35" customHeight="1">
      <c r="A106" s="182" t="s">
        <v>279</v>
      </c>
      <c r="B106" s="182"/>
      <c r="C106" s="182"/>
      <c r="D106" s="182"/>
      <c r="E106" s="182"/>
      <c r="F106" s="203" t="s">
        <v>186</v>
      </c>
      <c r="G106" s="182"/>
      <c r="H106" s="182"/>
      <c r="I106" s="182"/>
      <c r="J106" s="182"/>
      <c r="K106" s="182"/>
      <c r="L106" s="264" t="s">
        <v>89</v>
      </c>
      <c r="M106" s="264"/>
    </row>
    <row r="107" spans="1:13" s="204" customFormat="1" ht="22.5" customHeight="1">
      <c r="A107" s="265" t="s">
        <v>7</v>
      </c>
      <c r="B107" s="265" t="s">
        <v>1</v>
      </c>
      <c r="C107" s="265"/>
      <c r="D107" s="265" t="s">
        <v>4</v>
      </c>
      <c r="E107" s="265"/>
      <c r="F107" s="265" t="s">
        <v>5</v>
      </c>
      <c r="G107" s="265"/>
      <c r="H107" s="265" t="s">
        <v>6</v>
      </c>
      <c r="I107" s="265"/>
      <c r="J107" s="266" t="s">
        <v>271</v>
      </c>
      <c r="K107" s="266" t="s">
        <v>9</v>
      </c>
      <c r="L107" s="266" t="s">
        <v>11</v>
      </c>
      <c r="M107" s="266" t="s">
        <v>10</v>
      </c>
    </row>
    <row r="108" spans="1:13" s="204" customFormat="1" ht="22.5" customHeight="1">
      <c r="A108" s="265"/>
      <c r="B108" s="183" t="s">
        <v>2</v>
      </c>
      <c r="C108" s="183" t="s">
        <v>3</v>
      </c>
      <c r="D108" s="183" t="s">
        <v>2</v>
      </c>
      <c r="E108" s="183" t="s">
        <v>3</v>
      </c>
      <c r="F108" s="183" t="s">
        <v>2</v>
      </c>
      <c r="G108" s="183" t="s">
        <v>3</v>
      </c>
      <c r="H108" s="183" t="s">
        <v>2</v>
      </c>
      <c r="I108" s="183" t="s">
        <v>3</v>
      </c>
      <c r="J108" s="266"/>
      <c r="K108" s="266"/>
      <c r="L108" s="266"/>
      <c r="M108" s="266"/>
    </row>
    <row r="109" spans="1:13" s="204" customFormat="1" ht="25.5" customHeight="1">
      <c r="A109" s="184" t="s">
        <v>269</v>
      </c>
      <c r="B109" s="193">
        <f t="shared" ref="B109:M109" si="25">SUM(B110,B113,B115,B118,B121,B124,B132,B136,B144,B147,B151,B153,B157,B160,B164,B167,B171,B174,B181,B183,B189,B192,B195,B200,B197,B202:B208)</f>
        <v>212</v>
      </c>
      <c r="C109" s="193">
        <f t="shared" si="25"/>
        <v>21043</v>
      </c>
      <c r="D109" s="193">
        <f t="shared" si="25"/>
        <v>973</v>
      </c>
      <c r="E109" s="193">
        <f t="shared" si="25"/>
        <v>12</v>
      </c>
      <c r="F109" s="193">
        <f t="shared" si="25"/>
        <v>109</v>
      </c>
      <c r="G109" s="193">
        <f t="shared" si="25"/>
        <v>1582</v>
      </c>
      <c r="H109" s="193">
        <f t="shared" si="25"/>
        <v>74</v>
      </c>
      <c r="I109" s="193">
        <f t="shared" si="25"/>
        <v>52</v>
      </c>
      <c r="J109" s="193">
        <f t="shared" si="25"/>
        <v>151</v>
      </c>
      <c r="K109" s="193">
        <f t="shared" si="25"/>
        <v>26</v>
      </c>
      <c r="L109" s="193">
        <f t="shared" si="25"/>
        <v>943</v>
      </c>
      <c r="M109" s="193">
        <f t="shared" si="25"/>
        <v>23</v>
      </c>
    </row>
    <row r="110" spans="1:13" s="204" customFormat="1" ht="18.600000000000001" customHeight="1">
      <c r="A110" s="186" t="s">
        <v>33</v>
      </c>
      <c r="B110" s="193">
        <f>SUM(B111:B112)</f>
        <v>7</v>
      </c>
      <c r="C110" s="193">
        <f>SUM(C111:C112)</f>
        <v>1356</v>
      </c>
      <c r="D110" s="193">
        <f>SUM(D111:D112)</f>
        <v>44</v>
      </c>
      <c r="E110" s="193">
        <f t="shared" ref="E110:M110" si="26">SUM(E111:E112)</f>
        <v>0</v>
      </c>
      <c r="F110" s="193">
        <f t="shared" si="26"/>
        <v>6</v>
      </c>
      <c r="G110" s="193">
        <f t="shared" si="26"/>
        <v>92</v>
      </c>
      <c r="H110" s="193">
        <f t="shared" si="26"/>
        <v>1</v>
      </c>
      <c r="I110" s="193">
        <f t="shared" si="26"/>
        <v>0</v>
      </c>
      <c r="J110" s="193">
        <f t="shared" si="26"/>
        <v>2</v>
      </c>
      <c r="K110" s="193">
        <f t="shared" si="26"/>
        <v>1</v>
      </c>
      <c r="L110" s="193">
        <f t="shared" si="26"/>
        <v>54</v>
      </c>
      <c r="M110" s="193">
        <f t="shared" si="26"/>
        <v>1</v>
      </c>
    </row>
    <row r="111" spans="1:13" s="204" customFormat="1" ht="18.600000000000001" customHeight="1">
      <c r="A111" s="187" t="s">
        <v>34</v>
      </c>
      <c r="B111" s="194">
        <v>5</v>
      </c>
      <c r="C111" s="194">
        <v>1276</v>
      </c>
      <c r="D111" s="194">
        <v>26</v>
      </c>
      <c r="E111" s="194">
        <v>0</v>
      </c>
      <c r="F111" s="194">
        <v>1</v>
      </c>
      <c r="G111" s="194">
        <v>14</v>
      </c>
      <c r="H111" s="194">
        <v>0</v>
      </c>
      <c r="I111" s="194">
        <v>0</v>
      </c>
      <c r="J111" s="194">
        <v>0</v>
      </c>
      <c r="K111" s="194">
        <v>1</v>
      </c>
      <c r="L111" s="194">
        <v>36</v>
      </c>
      <c r="M111" s="194">
        <v>0</v>
      </c>
    </row>
    <row r="112" spans="1:13" s="182" customFormat="1" ht="18.600000000000001" customHeight="1">
      <c r="A112" s="205" t="s">
        <v>145</v>
      </c>
      <c r="B112" s="194">
        <v>2</v>
      </c>
      <c r="C112" s="194">
        <v>80</v>
      </c>
      <c r="D112" s="194">
        <v>18</v>
      </c>
      <c r="E112" s="194">
        <v>0</v>
      </c>
      <c r="F112" s="194">
        <v>5</v>
      </c>
      <c r="G112" s="194">
        <v>78</v>
      </c>
      <c r="H112" s="194">
        <v>1</v>
      </c>
      <c r="I112" s="194">
        <v>0</v>
      </c>
      <c r="J112" s="194">
        <v>2</v>
      </c>
      <c r="K112" s="194">
        <v>0</v>
      </c>
      <c r="L112" s="194">
        <v>18</v>
      </c>
      <c r="M112" s="194">
        <v>1</v>
      </c>
    </row>
    <row r="113" spans="1:13" s="204" customFormat="1" ht="18.600000000000001" customHeight="1">
      <c r="A113" s="186" t="s">
        <v>52</v>
      </c>
      <c r="B113" s="193">
        <f t="shared" ref="B113:M113" si="27">SUM(B114)</f>
        <v>7</v>
      </c>
      <c r="C113" s="193">
        <f t="shared" si="27"/>
        <v>886</v>
      </c>
      <c r="D113" s="193">
        <f t="shared" si="27"/>
        <v>135</v>
      </c>
      <c r="E113" s="193">
        <f t="shared" si="27"/>
        <v>0</v>
      </c>
      <c r="F113" s="193">
        <f t="shared" si="27"/>
        <v>2</v>
      </c>
      <c r="G113" s="193">
        <f t="shared" si="27"/>
        <v>36</v>
      </c>
      <c r="H113" s="193">
        <f t="shared" si="27"/>
        <v>2</v>
      </c>
      <c r="I113" s="193">
        <f t="shared" si="27"/>
        <v>0</v>
      </c>
      <c r="J113" s="193">
        <f t="shared" si="27"/>
        <v>14</v>
      </c>
      <c r="K113" s="193">
        <f t="shared" si="27"/>
        <v>0</v>
      </c>
      <c r="L113" s="193">
        <f t="shared" si="27"/>
        <v>45</v>
      </c>
      <c r="M113" s="193">
        <f t="shared" si="27"/>
        <v>0</v>
      </c>
    </row>
    <row r="114" spans="1:13" s="204" customFormat="1" ht="18.600000000000001" customHeight="1">
      <c r="A114" s="187" t="s">
        <v>53</v>
      </c>
      <c r="B114" s="194">
        <v>7</v>
      </c>
      <c r="C114" s="194">
        <v>886</v>
      </c>
      <c r="D114" s="194">
        <v>135</v>
      </c>
      <c r="E114" s="194">
        <v>0</v>
      </c>
      <c r="F114" s="194">
        <v>2</v>
      </c>
      <c r="G114" s="194">
        <v>36</v>
      </c>
      <c r="H114" s="194">
        <v>2</v>
      </c>
      <c r="I114" s="194">
        <v>0</v>
      </c>
      <c r="J114" s="194">
        <v>14</v>
      </c>
      <c r="K114" s="194">
        <v>0</v>
      </c>
      <c r="L114" s="194">
        <v>45</v>
      </c>
      <c r="M114" s="194">
        <v>0</v>
      </c>
    </row>
    <row r="115" spans="1:13" s="204" customFormat="1" ht="18.600000000000001" customHeight="1">
      <c r="A115" s="186" t="s">
        <v>43</v>
      </c>
      <c r="B115" s="193">
        <f t="shared" ref="B115:M115" si="28">SUM(B116:B117)</f>
        <v>2</v>
      </c>
      <c r="C115" s="193">
        <f>SUM(C116:C117)</f>
        <v>174</v>
      </c>
      <c r="D115" s="193">
        <f t="shared" si="28"/>
        <v>10</v>
      </c>
      <c r="E115" s="193">
        <f t="shared" si="28"/>
        <v>0</v>
      </c>
      <c r="F115" s="193">
        <f t="shared" si="28"/>
        <v>2</v>
      </c>
      <c r="G115" s="193">
        <f t="shared" si="28"/>
        <v>16</v>
      </c>
      <c r="H115" s="193">
        <f t="shared" si="28"/>
        <v>1</v>
      </c>
      <c r="I115" s="193">
        <f t="shared" si="28"/>
        <v>0</v>
      </c>
      <c r="J115" s="193">
        <f t="shared" si="28"/>
        <v>1</v>
      </c>
      <c r="K115" s="193">
        <f t="shared" si="28"/>
        <v>0</v>
      </c>
      <c r="L115" s="193">
        <f t="shared" si="28"/>
        <v>28</v>
      </c>
      <c r="M115" s="193">
        <f t="shared" si="28"/>
        <v>2</v>
      </c>
    </row>
    <row r="116" spans="1:13" s="204" customFormat="1" ht="18.600000000000001" customHeight="1">
      <c r="A116" s="187" t="s">
        <v>45</v>
      </c>
      <c r="B116" s="194">
        <v>1</v>
      </c>
      <c r="C116" s="194">
        <v>40</v>
      </c>
      <c r="D116" s="194">
        <v>5</v>
      </c>
      <c r="E116" s="194">
        <v>0</v>
      </c>
      <c r="F116" s="194">
        <v>0</v>
      </c>
      <c r="G116" s="194">
        <v>0</v>
      </c>
      <c r="H116" s="194">
        <v>0</v>
      </c>
      <c r="I116" s="194">
        <v>0</v>
      </c>
      <c r="J116" s="194">
        <v>0</v>
      </c>
      <c r="K116" s="194">
        <v>0</v>
      </c>
      <c r="L116" s="194">
        <v>12</v>
      </c>
      <c r="M116" s="194">
        <v>1</v>
      </c>
    </row>
    <row r="117" spans="1:13" s="204" customFormat="1" ht="18.600000000000001" customHeight="1">
      <c r="A117" s="187" t="s">
        <v>44</v>
      </c>
      <c r="B117" s="194">
        <v>1</v>
      </c>
      <c r="C117" s="194">
        <v>134</v>
      </c>
      <c r="D117" s="194">
        <v>5</v>
      </c>
      <c r="E117" s="194">
        <v>0</v>
      </c>
      <c r="F117" s="194">
        <v>2</v>
      </c>
      <c r="G117" s="194">
        <v>16</v>
      </c>
      <c r="H117" s="194">
        <v>1</v>
      </c>
      <c r="I117" s="194">
        <v>0</v>
      </c>
      <c r="J117" s="194">
        <v>1</v>
      </c>
      <c r="K117" s="194">
        <v>0</v>
      </c>
      <c r="L117" s="194">
        <v>16</v>
      </c>
      <c r="M117" s="194">
        <v>1</v>
      </c>
    </row>
    <row r="118" spans="1:13" s="204" customFormat="1" ht="18.600000000000001" customHeight="1">
      <c r="A118" s="186" t="s">
        <v>79</v>
      </c>
      <c r="B118" s="193">
        <f t="shared" ref="B118:M118" si="29">SUM(B119:B120)</f>
        <v>4</v>
      </c>
      <c r="C118" s="193">
        <f t="shared" si="29"/>
        <v>313</v>
      </c>
      <c r="D118" s="193">
        <f t="shared" si="29"/>
        <v>8</v>
      </c>
      <c r="E118" s="193">
        <f t="shared" si="29"/>
        <v>0</v>
      </c>
      <c r="F118" s="193">
        <f t="shared" si="29"/>
        <v>4</v>
      </c>
      <c r="G118" s="193">
        <f t="shared" si="29"/>
        <v>40</v>
      </c>
      <c r="H118" s="193">
        <f t="shared" si="29"/>
        <v>1</v>
      </c>
      <c r="I118" s="193">
        <f t="shared" si="29"/>
        <v>0</v>
      </c>
      <c r="J118" s="193">
        <f t="shared" si="29"/>
        <v>0</v>
      </c>
      <c r="K118" s="193">
        <f t="shared" si="29"/>
        <v>0</v>
      </c>
      <c r="L118" s="193">
        <f t="shared" si="29"/>
        <v>18</v>
      </c>
      <c r="M118" s="193">
        <f t="shared" si="29"/>
        <v>3</v>
      </c>
    </row>
    <row r="119" spans="1:13" s="204" customFormat="1" ht="18.600000000000001" customHeight="1">
      <c r="A119" s="187" t="s">
        <v>80</v>
      </c>
      <c r="B119" s="194">
        <v>3</v>
      </c>
      <c r="C119" s="194">
        <v>288</v>
      </c>
      <c r="D119" s="194">
        <v>6</v>
      </c>
      <c r="E119" s="194">
        <v>0</v>
      </c>
      <c r="F119" s="194">
        <v>4</v>
      </c>
      <c r="G119" s="194">
        <v>40</v>
      </c>
      <c r="H119" s="194">
        <v>1</v>
      </c>
      <c r="I119" s="194">
        <v>0</v>
      </c>
      <c r="J119" s="194">
        <v>0</v>
      </c>
      <c r="K119" s="194">
        <v>0</v>
      </c>
      <c r="L119" s="194">
        <v>18</v>
      </c>
      <c r="M119" s="194">
        <v>3</v>
      </c>
    </row>
    <row r="120" spans="1:13" s="204" customFormat="1" ht="18.600000000000001" customHeight="1">
      <c r="A120" s="187" t="s">
        <v>130</v>
      </c>
      <c r="B120" s="194">
        <v>1</v>
      </c>
      <c r="C120" s="194">
        <v>25</v>
      </c>
      <c r="D120" s="194">
        <v>2</v>
      </c>
      <c r="E120" s="194">
        <v>0</v>
      </c>
      <c r="F120" s="194">
        <v>0</v>
      </c>
      <c r="G120" s="194">
        <v>0</v>
      </c>
      <c r="H120" s="194">
        <v>0</v>
      </c>
      <c r="I120" s="194">
        <v>0</v>
      </c>
      <c r="J120" s="194">
        <v>0</v>
      </c>
      <c r="K120" s="194">
        <v>0</v>
      </c>
      <c r="L120" s="194">
        <v>0</v>
      </c>
      <c r="M120" s="194">
        <v>0</v>
      </c>
    </row>
    <row r="121" spans="1:13" s="204" customFormat="1" ht="18.600000000000001" customHeight="1">
      <c r="A121" s="186" t="s">
        <v>16</v>
      </c>
      <c r="B121" s="193">
        <f t="shared" ref="B121:M121" si="30">SUM(B122:B123)</f>
        <v>5</v>
      </c>
      <c r="C121" s="193">
        <f t="shared" si="30"/>
        <v>640</v>
      </c>
      <c r="D121" s="193">
        <f t="shared" si="30"/>
        <v>7</v>
      </c>
      <c r="E121" s="193">
        <f t="shared" si="30"/>
        <v>0</v>
      </c>
      <c r="F121" s="193">
        <f t="shared" si="30"/>
        <v>3</v>
      </c>
      <c r="G121" s="193">
        <f t="shared" si="30"/>
        <v>42</v>
      </c>
      <c r="H121" s="193">
        <f t="shared" si="30"/>
        <v>0</v>
      </c>
      <c r="I121" s="193">
        <f t="shared" si="30"/>
        <v>0</v>
      </c>
      <c r="J121" s="193">
        <f t="shared" si="30"/>
        <v>1</v>
      </c>
      <c r="K121" s="193">
        <f t="shared" si="30"/>
        <v>0</v>
      </c>
      <c r="L121" s="193">
        <f t="shared" si="30"/>
        <v>44</v>
      </c>
      <c r="M121" s="193">
        <f t="shared" si="30"/>
        <v>0</v>
      </c>
    </row>
    <row r="122" spans="1:13" s="204" customFormat="1" ht="18.600000000000001" customHeight="1">
      <c r="A122" s="187" t="s">
        <v>17</v>
      </c>
      <c r="B122" s="194">
        <v>3</v>
      </c>
      <c r="C122" s="194">
        <v>520</v>
      </c>
      <c r="D122" s="194">
        <v>6</v>
      </c>
      <c r="E122" s="194">
        <v>0</v>
      </c>
      <c r="F122" s="194">
        <v>1</v>
      </c>
      <c r="G122" s="194">
        <v>14</v>
      </c>
      <c r="H122" s="194">
        <v>0</v>
      </c>
      <c r="I122" s="194">
        <v>0</v>
      </c>
      <c r="J122" s="194">
        <v>1</v>
      </c>
      <c r="K122" s="194">
        <v>0</v>
      </c>
      <c r="L122" s="194">
        <v>35</v>
      </c>
      <c r="M122" s="194">
        <v>0</v>
      </c>
    </row>
    <row r="123" spans="1:13" s="204" customFormat="1" ht="18.600000000000001" customHeight="1">
      <c r="A123" s="187" t="s">
        <v>18</v>
      </c>
      <c r="B123" s="194">
        <v>2</v>
      </c>
      <c r="C123" s="194">
        <v>120</v>
      </c>
      <c r="D123" s="194">
        <v>1</v>
      </c>
      <c r="E123" s="194">
        <v>0</v>
      </c>
      <c r="F123" s="194">
        <v>2</v>
      </c>
      <c r="G123" s="194">
        <v>28</v>
      </c>
      <c r="H123" s="194">
        <v>0</v>
      </c>
      <c r="I123" s="194">
        <v>0</v>
      </c>
      <c r="J123" s="194">
        <v>0</v>
      </c>
      <c r="K123" s="194">
        <v>0</v>
      </c>
      <c r="L123" s="194">
        <v>9</v>
      </c>
      <c r="M123" s="194">
        <v>0</v>
      </c>
    </row>
    <row r="124" spans="1:13" s="204" customFormat="1" ht="18.600000000000001" customHeight="1">
      <c r="A124" s="186" t="s">
        <v>60</v>
      </c>
      <c r="B124" s="193">
        <f t="shared" ref="B124:M124" si="31">SUM(B125:B131)</f>
        <v>4</v>
      </c>
      <c r="C124" s="193">
        <f t="shared" si="31"/>
        <v>320</v>
      </c>
      <c r="D124" s="193">
        <f t="shared" si="31"/>
        <v>29</v>
      </c>
      <c r="E124" s="193">
        <f t="shared" si="31"/>
        <v>0</v>
      </c>
      <c r="F124" s="193">
        <f t="shared" si="31"/>
        <v>6</v>
      </c>
      <c r="G124" s="193">
        <f t="shared" si="31"/>
        <v>80</v>
      </c>
      <c r="H124" s="193">
        <f t="shared" si="31"/>
        <v>2</v>
      </c>
      <c r="I124" s="193">
        <f t="shared" si="31"/>
        <v>0</v>
      </c>
      <c r="J124" s="193">
        <f t="shared" si="31"/>
        <v>2</v>
      </c>
      <c r="K124" s="193">
        <f t="shared" si="31"/>
        <v>0</v>
      </c>
      <c r="L124" s="193">
        <f t="shared" si="31"/>
        <v>19</v>
      </c>
      <c r="M124" s="193">
        <f t="shared" si="31"/>
        <v>3</v>
      </c>
    </row>
    <row r="125" spans="1:13" s="204" customFormat="1" ht="18.600000000000001" customHeight="1">
      <c r="A125" s="187" t="s">
        <v>61</v>
      </c>
      <c r="B125" s="194">
        <v>3</v>
      </c>
      <c r="C125" s="194">
        <v>280</v>
      </c>
      <c r="D125" s="194">
        <v>14</v>
      </c>
      <c r="E125" s="194">
        <v>0</v>
      </c>
      <c r="F125" s="195">
        <v>3</v>
      </c>
      <c r="G125" s="195">
        <v>40</v>
      </c>
      <c r="H125" s="194">
        <v>2</v>
      </c>
      <c r="I125" s="194">
        <v>0</v>
      </c>
      <c r="J125" s="194">
        <v>2</v>
      </c>
      <c r="K125" s="194">
        <v>0</v>
      </c>
      <c r="L125" s="194">
        <v>9</v>
      </c>
      <c r="M125" s="194">
        <v>1</v>
      </c>
    </row>
    <row r="126" spans="1:13" s="204" customFormat="1" ht="18.600000000000001" customHeight="1">
      <c r="A126" s="187" t="s">
        <v>85</v>
      </c>
      <c r="B126" s="194">
        <v>0</v>
      </c>
      <c r="C126" s="194">
        <v>0</v>
      </c>
      <c r="D126" s="194">
        <v>0</v>
      </c>
      <c r="E126" s="194">
        <v>0</v>
      </c>
      <c r="F126" s="194">
        <v>0</v>
      </c>
      <c r="G126" s="194">
        <v>0</v>
      </c>
      <c r="H126" s="194">
        <v>0</v>
      </c>
      <c r="I126" s="194">
        <v>0</v>
      </c>
      <c r="J126" s="194">
        <v>0</v>
      </c>
      <c r="K126" s="194">
        <v>0</v>
      </c>
      <c r="L126" s="194">
        <v>0</v>
      </c>
      <c r="M126" s="194">
        <v>1</v>
      </c>
    </row>
    <row r="127" spans="1:13" s="204" customFormat="1" ht="18.600000000000001" customHeight="1">
      <c r="A127" s="187" t="s">
        <v>84</v>
      </c>
      <c r="B127" s="194">
        <v>0</v>
      </c>
      <c r="C127" s="194">
        <v>0</v>
      </c>
      <c r="D127" s="194">
        <v>0</v>
      </c>
      <c r="E127" s="194">
        <v>0</v>
      </c>
      <c r="F127" s="194">
        <v>0</v>
      </c>
      <c r="G127" s="194">
        <v>0</v>
      </c>
      <c r="H127" s="194">
        <v>0</v>
      </c>
      <c r="I127" s="194">
        <v>0</v>
      </c>
      <c r="J127" s="194">
        <v>0</v>
      </c>
      <c r="K127" s="194">
        <v>0</v>
      </c>
      <c r="L127" s="194">
        <v>0</v>
      </c>
      <c r="M127" s="194">
        <v>0</v>
      </c>
    </row>
    <row r="128" spans="1:13" s="204" customFormat="1" ht="18.600000000000001" customHeight="1">
      <c r="A128" s="187" t="s">
        <v>62</v>
      </c>
      <c r="B128" s="194">
        <v>1</v>
      </c>
      <c r="C128" s="194">
        <v>40</v>
      </c>
      <c r="D128" s="194">
        <v>15</v>
      </c>
      <c r="E128" s="194">
        <v>0</v>
      </c>
      <c r="F128" s="195">
        <v>3</v>
      </c>
      <c r="G128" s="195">
        <v>40</v>
      </c>
      <c r="H128" s="194">
        <v>0</v>
      </c>
      <c r="I128" s="194">
        <v>0</v>
      </c>
      <c r="J128" s="194">
        <v>0</v>
      </c>
      <c r="K128" s="194">
        <v>0</v>
      </c>
      <c r="L128" s="194">
        <v>10</v>
      </c>
      <c r="M128" s="194">
        <v>1</v>
      </c>
    </row>
    <row r="129" spans="1:13" s="204" customFormat="1" ht="18.600000000000001" customHeight="1">
      <c r="A129" s="187" t="s">
        <v>88</v>
      </c>
      <c r="B129" s="194">
        <v>0</v>
      </c>
      <c r="C129" s="194">
        <v>0</v>
      </c>
      <c r="D129" s="194">
        <v>0</v>
      </c>
      <c r="E129" s="194">
        <v>0</v>
      </c>
      <c r="F129" s="195">
        <v>0</v>
      </c>
      <c r="G129" s="195">
        <v>0</v>
      </c>
      <c r="H129" s="194">
        <v>0</v>
      </c>
      <c r="I129" s="194">
        <v>0</v>
      </c>
      <c r="J129" s="194">
        <v>0</v>
      </c>
      <c r="K129" s="194">
        <v>0</v>
      </c>
      <c r="L129" s="194">
        <v>0</v>
      </c>
      <c r="M129" s="194">
        <v>0</v>
      </c>
    </row>
    <row r="130" spans="1:13" s="204" customFormat="1" ht="18.600000000000001" customHeight="1">
      <c r="A130" s="187" t="s">
        <v>86</v>
      </c>
      <c r="B130" s="194">
        <v>0</v>
      </c>
      <c r="C130" s="194">
        <v>0</v>
      </c>
      <c r="D130" s="206">
        <v>0</v>
      </c>
      <c r="E130" s="194">
        <v>0</v>
      </c>
      <c r="F130" s="194">
        <v>0</v>
      </c>
      <c r="G130" s="194">
        <v>0</v>
      </c>
      <c r="H130" s="194">
        <v>0</v>
      </c>
      <c r="I130" s="194">
        <v>0</v>
      </c>
      <c r="J130" s="194">
        <v>0</v>
      </c>
      <c r="K130" s="194">
        <v>0</v>
      </c>
      <c r="L130" s="194">
        <v>0</v>
      </c>
      <c r="M130" s="194">
        <v>0</v>
      </c>
    </row>
    <row r="131" spans="1:13" s="204" customFormat="1" ht="18.600000000000001" customHeight="1">
      <c r="A131" s="187" t="s">
        <v>87</v>
      </c>
      <c r="B131" s="194">
        <v>0</v>
      </c>
      <c r="C131" s="194">
        <v>0</v>
      </c>
      <c r="D131" s="194">
        <v>0</v>
      </c>
      <c r="E131" s="194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</row>
    <row r="132" spans="1:13" s="204" customFormat="1" ht="18.600000000000001" customHeight="1">
      <c r="A132" s="186" t="s">
        <v>56</v>
      </c>
      <c r="B132" s="193">
        <f t="shared" ref="B132:M132" si="32">SUM(B133:B135)</f>
        <v>12</v>
      </c>
      <c r="C132" s="193">
        <f t="shared" si="32"/>
        <v>705</v>
      </c>
      <c r="D132" s="193">
        <f t="shared" si="32"/>
        <v>39</v>
      </c>
      <c r="E132" s="193">
        <f t="shared" si="32"/>
        <v>0</v>
      </c>
      <c r="F132" s="193">
        <f t="shared" si="32"/>
        <v>3</v>
      </c>
      <c r="G132" s="193">
        <f t="shared" si="32"/>
        <v>72</v>
      </c>
      <c r="H132" s="193">
        <f t="shared" si="32"/>
        <v>1</v>
      </c>
      <c r="I132" s="193">
        <f t="shared" si="32"/>
        <v>0</v>
      </c>
      <c r="J132" s="193">
        <f t="shared" si="32"/>
        <v>7</v>
      </c>
      <c r="K132" s="193">
        <f t="shared" si="32"/>
        <v>2</v>
      </c>
      <c r="L132" s="193">
        <f t="shared" si="32"/>
        <v>41</v>
      </c>
      <c r="M132" s="193">
        <f t="shared" si="32"/>
        <v>0</v>
      </c>
    </row>
    <row r="133" spans="1:13" s="204" customFormat="1" ht="18.600000000000001" customHeight="1">
      <c r="A133" s="187" t="s">
        <v>57</v>
      </c>
      <c r="B133" s="194">
        <v>8</v>
      </c>
      <c r="C133" s="194">
        <v>545</v>
      </c>
      <c r="D133" s="194">
        <v>25</v>
      </c>
      <c r="E133" s="194">
        <v>0</v>
      </c>
      <c r="F133" s="194">
        <v>1</v>
      </c>
      <c r="G133" s="195">
        <v>24</v>
      </c>
      <c r="H133" s="195">
        <v>1</v>
      </c>
      <c r="I133" s="195">
        <v>0</v>
      </c>
      <c r="J133" s="195">
        <v>3</v>
      </c>
      <c r="K133" s="195">
        <v>2</v>
      </c>
      <c r="L133" s="194">
        <v>27</v>
      </c>
      <c r="M133" s="195">
        <v>0</v>
      </c>
    </row>
    <row r="134" spans="1:13" s="204" customFormat="1" ht="18.600000000000001" customHeight="1">
      <c r="A134" s="187" t="s">
        <v>59</v>
      </c>
      <c r="B134" s="194">
        <v>1</v>
      </c>
      <c r="C134" s="194">
        <v>40</v>
      </c>
      <c r="D134" s="194">
        <v>5</v>
      </c>
      <c r="E134" s="194">
        <v>0</v>
      </c>
      <c r="F134" s="194">
        <v>0</v>
      </c>
      <c r="G134" s="195">
        <v>0</v>
      </c>
      <c r="H134" s="195">
        <v>0</v>
      </c>
      <c r="I134" s="195">
        <v>0</v>
      </c>
      <c r="J134" s="195">
        <v>1</v>
      </c>
      <c r="K134" s="195">
        <v>0</v>
      </c>
      <c r="L134" s="194">
        <v>6</v>
      </c>
      <c r="M134" s="195">
        <v>0</v>
      </c>
    </row>
    <row r="135" spans="1:13" s="204" customFormat="1" ht="18.600000000000001" customHeight="1">
      <c r="A135" s="187" t="s">
        <v>58</v>
      </c>
      <c r="B135" s="194">
        <v>3</v>
      </c>
      <c r="C135" s="194">
        <v>120</v>
      </c>
      <c r="D135" s="194">
        <v>9</v>
      </c>
      <c r="E135" s="194">
        <v>0</v>
      </c>
      <c r="F135" s="194">
        <v>2</v>
      </c>
      <c r="G135" s="195">
        <v>48</v>
      </c>
      <c r="H135" s="195">
        <v>0</v>
      </c>
      <c r="I135" s="195">
        <v>0</v>
      </c>
      <c r="J135" s="195">
        <v>3</v>
      </c>
      <c r="K135" s="195">
        <v>0</v>
      </c>
      <c r="L135" s="194">
        <v>8</v>
      </c>
      <c r="M135" s="195">
        <v>0</v>
      </c>
    </row>
    <row r="136" spans="1:13" s="204" customFormat="1" ht="18.600000000000001" customHeight="1">
      <c r="A136" s="186" t="s">
        <v>27</v>
      </c>
      <c r="B136" s="193">
        <f t="shared" ref="B136:M136" si="33">SUM(B137:B138)</f>
        <v>6</v>
      </c>
      <c r="C136" s="193">
        <f t="shared" si="33"/>
        <v>248</v>
      </c>
      <c r="D136" s="193">
        <f t="shared" si="33"/>
        <v>2</v>
      </c>
      <c r="E136" s="193">
        <f t="shared" si="33"/>
        <v>0</v>
      </c>
      <c r="F136" s="193">
        <f t="shared" si="33"/>
        <v>1</v>
      </c>
      <c r="G136" s="193">
        <f t="shared" si="33"/>
        <v>10</v>
      </c>
      <c r="H136" s="193">
        <f t="shared" si="33"/>
        <v>4</v>
      </c>
      <c r="I136" s="193">
        <f t="shared" si="33"/>
        <v>0</v>
      </c>
      <c r="J136" s="193">
        <f t="shared" si="33"/>
        <v>2</v>
      </c>
      <c r="K136" s="193">
        <f t="shared" si="33"/>
        <v>2</v>
      </c>
      <c r="L136" s="193">
        <f t="shared" si="33"/>
        <v>14</v>
      </c>
      <c r="M136" s="193">
        <f t="shared" si="33"/>
        <v>0</v>
      </c>
    </row>
    <row r="137" spans="1:13" s="204" customFormat="1" ht="18.600000000000001" customHeight="1">
      <c r="A137" s="187" t="s">
        <v>28</v>
      </c>
      <c r="B137" s="194">
        <v>5</v>
      </c>
      <c r="C137" s="194">
        <v>208</v>
      </c>
      <c r="D137" s="194">
        <v>1</v>
      </c>
      <c r="E137" s="194">
        <v>0</v>
      </c>
      <c r="F137" s="194">
        <v>1</v>
      </c>
      <c r="G137" s="194">
        <v>10</v>
      </c>
      <c r="H137" s="194">
        <v>4</v>
      </c>
      <c r="I137" s="194">
        <v>0</v>
      </c>
      <c r="J137" s="194">
        <v>1</v>
      </c>
      <c r="K137" s="194">
        <v>2</v>
      </c>
      <c r="L137" s="194">
        <v>9</v>
      </c>
      <c r="M137" s="194">
        <v>0</v>
      </c>
    </row>
    <row r="138" spans="1:13" s="204" customFormat="1" ht="18.600000000000001" customHeight="1">
      <c r="A138" s="187" t="s">
        <v>196</v>
      </c>
      <c r="B138" s="195">
        <v>1</v>
      </c>
      <c r="C138" s="195">
        <v>40</v>
      </c>
      <c r="D138" s="194">
        <v>1</v>
      </c>
      <c r="E138" s="194">
        <v>0</v>
      </c>
      <c r="F138" s="194">
        <v>0</v>
      </c>
      <c r="G138" s="194">
        <v>0</v>
      </c>
      <c r="H138" s="194">
        <v>0</v>
      </c>
      <c r="I138" s="194">
        <v>0</v>
      </c>
      <c r="J138" s="194">
        <v>1</v>
      </c>
      <c r="K138" s="194">
        <v>0</v>
      </c>
      <c r="L138" s="194">
        <v>5</v>
      </c>
      <c r="M138" s="194">
        <v>0</v>
      </c>
    </row>
    <row r="139" spans="1:13" s="202" customFormat="1" ht="13.15" customHeight="1">
      <c r="A139" s="200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192" t="s">
        <v>90</v>
      </c>
    </row>
    <row r="140" spans="1:13" s="204" customFormat="1" ht="60" customHeight="1">
      <c r="A140" s="263" t="s">
        <v>282</v>
      </c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</row>
    <row r="141" spans="1:13" s="202" customFormat="1" ht="13.15" customHeight="1">
      <c r="A141" s="182" t="s">
        <v>279</v>
      </c>
      <c r="B141" s="182"/>
      <c r="C141" s="182"/>
      <c r="D141" s="182"/>
      <c r="E141" s="182"/>
      <c r="F141" s="203" t="s">
        <v>186</v>
      </c>
      <c r="G141" s="182"/>
      <c r="H141" s="182"/>
      <c r="I141" s="182"/>
      <c r="J141" s="182"/>
      <c r="K141" s="182"/>
      <c r="L141" s="264" t="s">
        <v>89</v>
      </c>
      <c r="M141" s="264"/>
    </row>
    <row r="142" spans="1:13" s="204" customFormat="1" ht="22.5" customHeight="1">
      <c r="A142" s="265" t="s">
        <v>7</v>
      </c>
      <c r="B142" s="265" t="s">
        <v>1</v>
      </c>
      <c r="C142" s="265"/>
      <c r="D142" s="265" t="s">
        <v>4</v>
      </c>
      <c r="E142" s="265"/>
      <c r="F142" s="265" t="s">
        <v>5</v>
      </c>
      <c r="G142" s="265"/>
      <c r="H142" s="265" t="s">
        <v>6</v>
      </c>
      <c r="I142" s="265"/>
      <c r="J142" s="266" t="s">
        <v>8</v>
      </c>
      <c r="K142" s="266" t="s">
        <v>270</v>
      </c>
      <c r="L142" s="266" t="s">
        <v>11</v>
      </c>
      <c r="M142" s="266" t="s">
        <v>10</v>
      </c>
    </row>
    <row r="143" spans="1:13" s="204" customFormat="1" ht="22.5" customHeight="1">
      <c r="A143" s="265"/>
      <c r="B143" s="183" t="s">
        <v>2</v>
      </c>
      <c r="C143" s="183" t="s">
        <v>3</v>
      </c>
      <c r="D143" s="183" t="s">
        <v>2</v>
      </c>
      <c r="E143" s="183" t="s">
        <v>3</v>
      </c>
      <c r="F143" s="183" t="s">
        <v>2</v>
      </c>
      <c r="G143" s="183" t="s">
        <v>3</v>
      </c>
      <c r="H143" s="183" t="s">
        <v>2</v>
      </c>
      <c r="I143" s="183" t="s">
        <v>3</v>
      </c>
      <c r="J143" s="266"/>
      <c r="K143" s="266"/>
      <c r="L143" s="266"/>
      <c r="M143" s="266"/>
    </row>
    <row r="144" spans="1:13" s="204" customFormat="1" ht="18.600000000000001" customHeight="1">
      <c r="A144" s="186" t="s">
        <v>35</v>
      </c>
      <c r="B144" s="193">
        <f t="shared" ref="B144:M144" si="34">SUM(B145:B146)</f>
        <v>10</v>
      </c>
      <c r="C144" s="193">
        <f t="shared" si="34"/>
        <v>723</v>
      </c>
      <c r="D144" s="193">
        <f t="shared" si="34"/>
        <v>11</v>
      </c>
      <c r="E144" s="193">
        <f t="shared" si="34"/>
        <v>0</v>
      </c>
      <c r="F144" s="193">
        <f t="shared" si="34"/>
        <v>5</v>
      </c>
      <c r="G144" s="193">
        <f t="shared" si="34"/>
        <v>54</v>
      </c>
      <c r="H144" s="193">
        <f t="shared" si="34"/>
        <v>1</v>
      </c>
      <c r="I144" s="193">
        <f t="shared" si="34"/>
        <v>0</v>
      </c>
      <c r="J144" s="193">
        <f t="shared" si="34"/>
        <v>2</v>
      </c>
      <c r="K144" s="193">
        <f t="shared" si="34"/>
        <v>6</v>
      </c>
      <c r="L144" s="193">
        <f t="shared" si="34"/>
        <v>40</v>
      </c>
      <c r="M144" s="193">
        <f t="shared" si="34"/>
        <v>1</v>
      </c>
    </row>
    <row r="145" spans="1:13" s="204" customFormat="1" ht="18.600000000000001" customHeight="1">
      <c r="A145" s="187" t="s">
        <v>37</v>
      </c>
      <c r="B145" s="194">
        <v>1</v>
      </c>
      <c r="C145" s="194">
        <v>40</v>
      </c>
      <c r="D145" s="194">
        <v>1</v>
      </c>
      <c r="E145" s="194">
        <v>0</v>
      </c>
      <c r="F145" s="194">
        <v>2</v>
      </c>
      <c r="G145" s="194">
        <v>16</v>
      </c>
      <c r="H145" s="194">
        <v>0</v>
      </c>
      <c r="I145" s="194">
        <v>0</v>
      </c>
      <c r="J145" s="194">
        <v>0</v>
      </c>
      <c r="K145" s="194">
        <v>1</v>
      </c>
      <c r="L145" s="194">
        <v>0</v>
      </c>
      <c r="M145" s="194">
        <v>0</v>
      </c>
    </row>
    <row r="146" spans="1:13" s="204" customFormat="1" ht="18.600000000000001" customHeight="1">
      <c r="A146" s="187" t="s">
        <v>36</v>
      </c>
      <c r="B146" s="194">
        <v>9</v>
      </c>
      <c r="C146" s="194">
        <v>683</v>
      </c>
      <c r="D146" s="194">
        <v>10</v>
      </c>
      <c r="E146" s="194">
        <v>0</v>
      </c>
      <c r="F146" s="194">
        <v>3</v>
      </c>
      <c r="G146" s="194">
        <v>38</v>
      </c>
      <c r="H146" s="194">
        <v>1</v>
      </c>
      <c r="I146" s="194">
        <v>0</v>
      </c>
      <c r="J146" s="194">
        <v>2</v>
      </c>
      <c r="K146" s="194">
        <v>5</v>
      </c>
      <c r="L146" s="194">
        <v>40</v>
      </c>
      <c r="M146" s="194">
        <v>1</v>
      </c>
    </row>
    <row r="147" spans="1:13" s="204" customFormat="1" ht="18.600000000000001" customHeight="1">
      <c r="A147" s="186" t="s">
        <v>29</v>
      </c>
      <c r="B147" s="193">
        <f t="shared" ref="B147:M147" si="35">SUM(B148:B150)</f>
        <v>9</v>
      </c>
      <c r="C147" s="193">
        <f t="shared" si="35"/>
        <v>590</v>
      </c>
      <c r="D147" s="193">
        <f t="shared" si="35"/>
        <v>3</v>
      </c>
      <c r="E147" s="193">
        <f t="shared" si="35"/>
        <v>0</v>
      </c>
      <c r="F147" s="193">
        <f t="shared" si="35"/>
        <v>4</v>
      </c>
      <c r="G147" s="193">
        <f t="shared" si="35"/>
        <v>32</v>
      </c>
      <c r="H147" s="193">
        <f t="shared" si="35"/>
        <v>1</v>
      </c>
      <c r="I147" s="193">
        <f t="shared" si="35"/>
        <v>0</v>
      </c>
      <c r="J147" s="193">
        <f t="shared" si="35"/>
        <v>2</v>
      </c>
      <c r="K147" s="193">
        <f t="shared" si="35"/>
        <v>0</v>
      </c>
      <c r="L147" s="193">
        <f t="shared" si="35"/>
        <v>19</v>
      </c>
      <c r="M147" s="193">
        <f t="shared" si="35"/>
        <v>0</v>
      </c>
    </row>
    <row r="148" spans="1:13" s="204" customFormat="1" ht="18.600000000000001" customHeight="1">
      <c r="A148" s="187" t="s">
        <v>31</v>
      </c>
      <c r="B148" s="194">
        <v>3</v>
      </c>
      <c r="C148" s="194">
        <v>52</v>
      </c>
      <c r="D148" s="194">
        <v>0</v>
      </c>
      <c r="E148" s="194">
        <v>0</v>
      </c>
      <c r="F148" s="194">
        <v>1</v>
      </c>
      <c r="G148" s="194">
        <v>8</v>
      </c>
      <c r="H148" s="194">
        <v>0</v>
      </c>
      <c r="I148" s="194">
        <v>0</v>
      </c>
      <c r="J148" s="194">
        <v>0</v>
      </c>
      <c r="K148" s="194">
        <v>0</v>
      </c>
      <c r="L148" s="194">
        <v>5</v>
      </c>
      <c r="M148" s="194">
        <v>0</v>
      </c>
    </row>
    <row r="149" spans="1:13" s="204" customFormat="1" ht="18.600000000000001" customHeight="1">
      <c r="A149" s="187" t="s">
        <v>30</v>
      </c>
      <c r="B149" s="194">
        <v>4</v>
      </c>
      <c r="C149" s="194">
        <v>388</v>
      </c>
      <c r="D149" s="194">
        <v>3</v>
      </c>
      <c r="E149" s="194">
        <v>0</v>
      </c>
      <c r="F149" s="194">
        <v>2</v>
      </c>
      <c r="G149" s="194">
        <v>16</v>
      </c>
      <c r="H149" s="194">
        <v>1</v>
      </c>
      <c r="I149" s="194">
        <v>0</v>
      </c>
      <c r="J149" s="194">
        <v>1</v>
      </c>
      <c r="K149" s="194">
        <v>0</v>
      </c>
      <c r="L149" s="194">
        <v>7</v>
      </c>
      <c r="M149" s="194">
        <v>0</v>
      </c>
    </row>
    <row r="150" spans="1:13" s="204" customFormat="1" ht="18.600000000000001" customHeight="1">
      <c r="A150" s="187" t="s">
        <v>32</v>
      </c>
      <c r="B150" s="194">
        <v>2</v>
      </c>
      <c r="C150" s="194">
        <v>150</v>
      </c>
      <c r="D150" s="194">
        <v>0</v>
      </c>
      <c r="E150" s="194">
        <v>0</v>
      </c>
      <c r="F150" s="194">
        <v>1</v>
      </c>
      <c r="G150" s="194">
        <v>8</v>
      </c>
      <c r="H150" s="194">
        <v>0</v>
      </c>
      <c r="I150" s="194">
        <v>0</v>
      </c>
      <c r="J150" s="194">
        <v>1</v>
      </c>
      <c r="K150" s="194">
        <v>0</v>
      </c>
      <c r="L150" s="194">
        <v>7</v>
      </c>
      <c r="M150" s="194">
        <v>0</v>
      </c>
    </row>
    <row r="151" spans="1:13" s="204" customFormat="1" ht="18.600000000000001" customHeight="1">
      <c r="A151" s="186" t="s">
        <v>25</v>
      </c>
      <c r="B151" s="193">
        <f t="shared" ref="B151:M151" si="36">SUM(B152)</f>
        <v>7</v>
      </c>
      <c r="C151" s="193">
        <f t="shared" si="36"/>
        <v>520</v>
      </c>
      <c r="D151" s="193">
        <f t="shared" si="36"/>
        <v>17</v>
      </c>
      <c r="E151" s="193">
        <f t="shared" si="36"/>
        <v>0</v>
      </c>
      <c r="F151" s="193">
        <f t="shared" si="36"/>
        <v>4</v>
      </c>
      <c r="G151" s="193">
        <f t="shared" si="36"/>
        <v>88</v>
      </c>
      <c r="H151" s="193">
        <f t="shared" si="36"/>
        <v>1</v>
      </c>
      <c r="I151" s="193">
        <f t="shared" si="36"/>
        <v>0</v>
      </c>
      <c r="J151" s="193">
        <f t="shared" si="36"/>
        <v>2</v>
      </c>
      <c r="K151" s="193">
        <f t="shared" si="36"/>
        <v>3</v>
      </c>
      <c r="L151" s="193">
        <f t="shared" si="36"/>
        <v>29</v>
      </c>
      <c r="M151" s="193">
        <f t="shared" si="36"/>
        <v>0</v>
      </c>
    </row>
    <row r="152" spans="1:13" s="204" customFormat="1" ht="18.600000000000001" customHeight="1">
      <c r="A152" s="187" t="s">
        <v>26</v>
      </c>
      <c r="B152" s="194">
        <v>7</v>
      </c>
      <c r="C152" s="194">
        <v>520</v>
      </c>
      <c r="D152" s="194">
        <v>17</v>
      </c>
      <c r="E152" s="194">
        <v>0</v>
      </c>
      <c r="F152" s="194">
        <v>4</v>
      </c>
      <c r="G152" s="194">
        <v>88</v>
      </c>
      <c r="H152" s="194">
        <v>1</v>
      </c>
      <c r="I152" s="194">
        <v>0</v>
      </c>
      <c r="J152" s="194">
        <v>2</v>
      </c>
      <c r="K152" s="194">
        <v>3</v>
      </c>
      <c r="L152" s="194">
        <v>29</v>
      </c>
      <c r="M152" s="194">
        <v>0</v>
      </c>
    </row>
    <row r="153" spans="1:13" s="204" customFormat="1" ht="18.600000000000001" customHeight="1">
      <c r="A153" s="186" t="s">
        <v>46</v>
      </c>
      <c r="B153" s="193">
        <f t="shared" ref="B153:M153" si="37">SUM(B154:B156)</f>
        <v>0</v>
      </c>
      <c r="C153" s="193">
        <f t="shared" si="37"/>
        <v>0</v>
      </c>
      <c r="D153" s="193">
        <f t="shared" si="37"/>
        <v>4</v>
      </c>
      <c r="E153" s="193">
        <f t="shared" si="37"/>
        <v>0</v>
      </c>
      <c r="F153" s="193">
        <f t="shared" si="37"/>
        <v>4</v>
      </c>
      <c r="G153" s="193">
        <f t="shared" si="37"/>
        <v>32</v>
      </c>
      <c r="H153" s="193">
        <f t="shared" si="37"/>
        <v>1</v>
      </c>
      <c r="I153" s="193">
        <f t="shared" si="37"/>
        <v>0</v>
      </c>
      <c r="J153" s="193">
        <f t="shared" si="37"/>
        <v>0</v>
      </c>
      <c r="K153" s="193">
        <f t="shared" si="37"/>
        <v>0</v>
      </c>
      <c r="L153" s="193">
        <f t="shared" si="37"/>
        <v>33</v>
      </c>
      <c r="M153" s="193">
        <f t="shared" si="37"/>
        <v>2</v>
      </c>
    </row>
    <row r="154" spans="1:13" s="204" customFormat="1" ht="18.600000000000001" customHeight="1">
      <c r="A154" s="187" t="s">
        <v>48</v>
      </c>
      <c r="B154" s="194">
        <v>0</v>
      </c>
      <c r="C154" s="194">
        <v>0</v>
      </c>
      <c r="D154" s="194">
        <v>3</v>
      </c>
      <c r="E154" s="194">
        <v>0</v>
      </c>
      <c r="F154" s="194">
        <v>2</v>
      </c>
      <c r="G154" s="194">
        <v>16</v>
      </c>
      <c r="H154" s="194">
        <v>1</v>
      </c>
      <c r="I154" s="194">
        <v>0</v>
      </c>
      <c r="J154" s="194">
        <v>0</v>
      </c>
      <c r="K154" s="194">
        <v>0</v>
      </c>
      <c r="L154" s="194">
        <v>14</v>
      </c>
      <c r="M154" s="194">
        <v>1</v>
      </c>
    </row>
    <row r="155" spans="1:13" s="204" customFormat="1" ht="18.600000000000001" customHeight="1">
      <c r="A155" s="187" t="s">
        <v>49</v>
      </c>
      <c r="B155" s="194">
        <v>0</v>
      </c>
      <c r="C155" s="194">
        <v>0</v>
      </c>
      <c r="D155" s="194">
        <v>0</v>
      </c>
      <c r="E155" s="194">
        <v>0</v>
      </c>
      <c r="F155" s="194">
        <v>0</v>
      </c>
      <c r="G155" s="194">
        <v>0</v>
      </c>
      <c r="H155" s="194">
        <v>0</v>
      </c>
      <c r="I155" s="194">
        <v>0</v>
      </c>
      <c r="J155" s="194">
        <v>0</v>
      </c>
      <c r="K155" s="194">
        <v>0</v>
      </c>
      <c r="L155" s="194">
        <v>10</v>
      </c>
      <c r="M155" s="194">
        <v>0</v>
      </c>
    </row>
    <row r="156" spans="1:13" s="204" customFormat="1" ht="18.600000000000001" customHeight="1">
      <c r="A156" s="187" t="s">
        <v>47</v>
      </c>
      <c r="B156" s="194">
        <v>0</v>
      </c>
      <c r="C156" s="194">
        <v>0</v>
      </c>
      <c r="D156" s="194">
        <v>1</v>
      </c>
      <c r="E156" s="194">
        <v>0</v>
      </c>
      <c r="F156" s="194">
        <v>2</v>
      </c>
      <c r="G156" s="194">
        <v>16</v>
      </c>
      <c r="H156" s="194">
        <v>0</v>
      </c>
      <c r="I156" s="194">
        <v>0</v>
      </c>
      <c r="J156" s="194">
        <v>0</v>
      </c>
      <c r="K156" s="194">
        <v>0</v>
      </c>
      <c r="L156" s="194">
        <v>9</v>
      </c>
      <c r="M156" s="194">
        <v>1</v>
      </c>
    </row>
    <row r="157" spans="1:13" s="204" customFormat="1" ht="18.600000000000001" customHeight="1">
      <c r="A157" s="186" t="s">
        <v>54</v>
      </c>
      <c r="B157" s="193">
        <f t="shared" ref="B157:M157" si="38">SUM(B158:B159)</f>
        <v>5</v>
      </c>
      <c r="C157" s="193">
        <f t="shared" si="38"/>
        <v>466</v>
      </c>
      <c r="D157" s="193">
        <f t="shared" si="38"/>
        <v>19</v>
      </c>
      <c r="E157" s="193">
        <f t="shared" si="38"/>
        <v>0</v>
      </c>
      <c r="F157" s="193">
        <f t="shared" si="38"/>
        <v>4</v>
      </c>
      <c r="G157" s="193">
        <f t="shared" si="38"/>
        <v>56</v>
      </c>
      <c r="H157" s="193">
        <f t="shared" si="38"/>
        <v>8</v>
      </c>
      <c r="I157" s="193">
        <f t="shared" si="38"/>
        <v>0</v>
      </c>
      <c r="J157" s="193">
        <f t="shared" si="38"/>
        <v>2</v>
      </c>
      <c r="K157" s="193">
        <f t="shared" si="38"/>
        <v>2</v>
      </c>
      <c r="L157" s="193">
        <f t="shared" si="38"/>
        <v>30</v>
      </c>
      <c r="M157" s="193">
        <f t="shared" si="38"/>
        <v>0</v>
      </c>
    </row>
    <row r="158" spans="1:13" s="204" customFormat="1" ht="18.600000000000001" customHeight="1">
      <c r="A158" s="187" t="s">
        <v>55</v>
      </c>
      <c r="B158" s="194">
        <v>4</v>
      </c>
      <c r="C158" s="194">
        <v>356</v>
      </c>
      <c r="D158" s="194">
        <v>19</v>
      </c>
      <c r="E158" s="194">
        <v>0</v>
      </c>
      <c r="F158" s="194">
        <v>2</v>
      </c>
      <c r="G158" s="194">
        <v>28</v>
      </c>
      <c r="H158" s="194">
        <v>5</v>
      </c>
      <c r="I158" s="194">
        <v>0</v>
      </c>
      <c r="J158" s="194">
        <v>1</v>
      </c>
      <c r="K158" s="194">
        <v>2</v>
      </c>
      <c r="L158" s="194">
        <v>20</v>
      </c>
      <c r="M158" s="194">
        <v>0</v>
      </c>
    </row>
    <row r="159" spans="1:13" s="204" customFormat="1" ht="18.600000000000001" customHeight="1">
      <c r="A159" s="187" t="s">
        <v>146</v>
      </c>
      <c r="B159" s="194">
        <v>1</v>
      </c>
      <c r="C159" s="194">
        <v>110</v>
      </c>
      <c r="D159" s="194">
        <v>0</v>
      </c>
      <c r="E159" s="194">
        <v>0</v>
      </c>
      <c r="F159" s="194">
        <v>2</v>
      </c>
      <c r="G159" s="194">
        <v>28</v>
      </c>
      <c r="H159" s="194">
        <v>3</v>
      </c>
      <c r="I159" s="194">
        <v>0</v>
      </c>
      <c r="J159" s="194">
        <v>1</v>
      </c>
      <c r="K159" s="194">
        <v>0</v>
      </c>
      <c r="L159" s="194">
        <v>10</v>
      </c>
      <c r="M159" s="194">
        <v>0</v>
      </c>
    </row>
    <row r="160" spans="1:13" s="204" customFormat="1" ht="18.600000000000001" customHeight="1">
      <c r="A160" s="186" t="s">
        <v>66</v>
      </c>
      <c r="B160" s="193">
        <f t="shared" ref="B160:M160" si="39">SUM(B161:B163)</f>
        <v>7</v>
      </c>
      <c r="C160" s="193">
        <f t="shared" si="39"/>
        <v>762</v>
      </c>
      <c r="D160" s="193">
        <f t="shared" si="39"/>
        <v>19</v>
      </c>
      <c r="E160" s="193">
        <f t="shared" si="39"/>
        <v>0</v>
      </c>
      <c r="F160" s="193">
        <f t="shared" si="39"/>
        <v>4</v>
      </c>
      <c r="G160" s="193">
        <f t="shared" si="39"/>
        <v>84</v>
      </c>
      <c r="H160" s="193">
        <f t="shared" si="39"/>
        <v>1</v>
      </c>
      <c r="I160" s="193">
        <f t="shared" si="39"/>
        <v>0</v>
      </c>
      <c r="J160" s="193">
        <f t="shared" si="39"/>
        <v>7</v>
      </c>
      <c r="K160" s="193">
        <f t="shared" si="39"/>
        <v>2</v>
      </c>
      <c r="L160" s="193">
        <f t="shared" si="39"/>
        <v>31</v>
      </c>
      <c r="M160" s="193">
        <f t="shared" si="39"/>
        <v>2</v>
      </c>
    </row>
    <row r="161" spans="1:13" s="204" customFormat="1" ht="18.600000000000001" customHeight="1">
      <c r="A161" s="187" t="s">
        <v>68</v>
      </c>
      <c r="B161" s="195">
        <v>0</v>
      </c>
      <c r="C161" s="195">
        <v>0</v>
      </c>
      <c r="D161" s="195">
        <v>0</v>
      </c>
      <c r="E161" s="195">
        <v>0</v>
      </c>
      <c r="F161" s="195">
        <v>0</v>
      </c>
      <c r="G161" s="195">
        <v>0</v>
      </c>
      <c r="H161" s="195">
        <v>0</v>
      </c>
      <c r="I161" s="195">
        <v>0</v>
      </c>
      <c r="J161" s="195">
        <v>0</v>
      </c>
      <c r="K161" s="195">
        <v>0</v>
      </c>
      <c r="L161" s="195">
        <v>0</v>
      </c>
      <c r="M161" s="195">
        <v>0</v>
      </c>
    </row>
    <row r="162" spans="1:13" s="204" customFormat="1" ht="18.600000000000001" customHeight="1">
      <c r="A162" s="187" t="s">
        <v>69</v>
      </c>
      <c r="B162" s="195">
        <v>2</v>
      </c>
      <c r="C162" s="195">
        <v>140</v>
      </c>
      <c r="D162" s="195">
        <v>0</v>
      </c>
      <c r="E162" s="195">
        <v>0</v>
      </c>
      <c r="F162" s="195">
        <v>0</v>
      </c>
      <c r="G162" s="195">
        <v>0</v>
      </c>
      <c r="H162" s="195">
        <v>0</v>
      </c>
      <c r="I162" s="195">
        <v>0</v>
      </c>
      <c r="J162" s="195">
        <v>1</v>
      </c>
      <c r="K162" s="195">
        <v>1</v>
      </c>
      <c r="L162" s="195">
        <v>4</v>
      </c>
      <c r="M162" s="195">
        <v>1</v>
      </c>
    </row>
    <row r="163" spans="1:13" s="204" customFormat="1" ht="18.600000000000001" customHeight="1">
      <c r="A163" s="187" t="s">
        <v>67</v>
      </c>
      <c r="B163" s="195">
        <v>5</v>
      </c>
      <c r="C163" s="195">
        <v>622</v>
      </c>
      <c r="D163" s="195">
        <v>19</v>
      </c>
      <c r="E163" s="195">
        <v>0</v>
      </c>
      <c r="F163" s="195">
        <v>4</v>
      </c>
      <c r="G163" s="195">
        <v>84</v>
      </c>
      <c r="H163" s="195">
        <v>1</v>
      </c>
      <c r="I163" s="195">
        <v>0</v>
      </c>
      <c r="J163" s="195">
        <v>6</v>
      </c>
      <c r="K163" s="195">
        <v>1</v>
      </c>
      <c r="L163" s="195">
        <v>27</v>
      </c>
      <c r="M163" s="195">
        <v>1</v>
      </c>
    </row>
    <row r="164" spans="1:13" s="204" customFormat="1" ht="18.600000000000001" customHeight="1">
      <c r="A164" s="186" t="s">
        <v>81</v>
      </c>
      <c r="B164" s="193">
        <f t="shared" ref="B164:M164" si="40">SUM(B165:B166)</f>
        <v>6</v>
      </c>
      <c r="C164" s="193">
        <f t="shared" si="40"/>
        <v>460</v>
      </c>
      <c r="D164" s="193">
        <f t="shared" si="40"/>
        <v>11</v>
      </c>
      <c r="E164" s="193">
        <f t="shared" si="40"/>
        <v>0</v>
      </c>
      <c r="F164" s="193">
        <f t="shared" si="40"/>
        <v>5</v>
      </c>
      <c r="G164" s="193">
        <f t="shared" si="40"/>
        <v>50</v>
      </c>
      <c r="H164" s="193">
        <f t="shared" si="40"/>
        <v>0</v>
      </c>
      <c r="I164" s="193">
        <f t="shared" si="40"/>
        <v>0</v>
      </c>
      <c r="J164" s="193">
        <f t="shared" si="40"/>
        <v>2</v>
      </c>
      <c r="K164" s="193">
        <f t="shared" si="40"/>
        <v>0</v>
      </c>
      <c r="L164" s="193">
        <f t="shared" si="40"/>
        <v>20</v>
      </c>
      <c r="M164" s="193">
        <f t="shared" si="40"/>
        <v>0</v>
      </c>
    </row>
    <row r="165" spans="1:13" s="204" customFormat="1" ht="18.600000000000001" customHeight="1">
      <c r="A165" s="187" t="s">
        <v>83</v>
      </c>
      <c r="B165" s="194">
        <v>1</v>
      </c>
      <c r="C165" s="194">
        <v>100</v>
      </c>
      <c r="D165" s="194">
        <v>3</v>
      </c>
      <c r="E165" s="194">
        <v>0</v>
      </c>
      <c r="F165" s="194">
        <v>1</v>
      </c>
      <c r="G165" s="194">
        <v>10</v>
      </c>
      <c r="H165" s="194">
        <v>0</v>
      </c>
      <c r="I165" s="194">
        <v>0</v>
      </c>
      <c r="J165" s="194">
        <v>1</v>
      </c>
      <c r="K165" s="194">
        <v>0</v>
      </c>
      <c r="L165" s="194">
        <v>9</v>
      </c>
      <c r="M165" s="194">
        <v>0</v>
      </c>
    </row>
    <row r="166" spans="1:13" s="204" customFormat="1" ht="18.600000000000001" customHeight="1">
      <c r="A166" s="187" t="s">
        <v>82</v>
      </c>
      <c r="B166" s="194">
        <v>5</v>
      </c>
      <c r="C166" s="194">
        <v>360</v>
      </c>
      <c r="D166" s="194">
        <v>8</v>
      </c>
      <c r="E166" s="194">
        <v>0</v>
      </c>
      <c r="F166" s="194">
        <v>4</v>
      </c>
      <c r="G166" s="194">
        <v>40</v>
      </c>
      <c r="H166" s="194">
        <v>0</v>
      </c>
      <c r="I166" s="194">
        <v>0</v>
      </c>
      <c r="J166" s="194">
        <v>1</v>
      </c>
      <c r="K166" s="194">
        <v>0</v>
      </c>
      <c r="L166" s="194">
        <v>11</v>
      </c>
      <c r="M166" s="194">
        <v>0</v>
      </c>
    </row>
    <row r="167" spans="1:13" s="204" customFormat="1" ht="18.600000000000001" customHeight="1">
      <c r="A167" s="186" t="s">
        <v>38</v>
      </c>
      <c r="B167" s="193">
        <f t="shared" ref="B167:M167" si="41">SUM(B168:B170)</f>
        <v>12</v>
      </c>
      <c r="C167" s="193">
        <f t="shared" si="41"/>
        <v>748</v>
      </c>
      <c r="D167" s="193">
        <f t="shared" si="41"/>
        <v>60</v>
      </c>
      <c r="E167" s="193">
        <f t="shared" si="41"/>
        <v>0</v>
      </c>
      <c r="F167" s="193">
        <f t="shared" si="41"/>
        <v>13</v>
      </c>
      <c r="G167" s="193">
        <f t="shared" si="41"/>
        <v>194</v>
      </c>
      <c r="H167" s="193">
        <f t="shared" si="41"/>
        <v>1</v>
      </c>
      <c r="I167" s="193">
        <f t="shared" si="41"/>
        <v>0</v>
      </c>
      <c r="J167" s="193">
        <f t="shared" si="41"/>
        <v>3</v>
      </c>
      <c r="K167" s="193">
        <f t="shared" si="41"/>
        <v>0</v>
      </c>
      <c r="L167" s="193">
        <f t="shared" si="41"/>
        <v>50</v>
      </c>
      <c r="M167" s="193">
        <f t="shared" si="41"/>
        <v>1</v>
      </c>
    </row>
    <row r="168" spans="1:13" s="204" customFormat="1" ht="18.600000000000001" customHeight="1">
      <c r="A168" s="187" t="s">
        <v>41</v>
      </c>
      <c r="B168" s="194">
        <v>4</v>
      </c>
      <c r="C168" s="194">
        <v>198</v>
      </c>
      <c r="D168" s="194">
        <v>0</v>
      </c>
      <c r="E168" s="194">
        <v>0</v>
      </c>
      <c r="F168" s="194">
        <v>2</v>
      </c>
      <c r="G168" s="194">
        <v>28</v>
      </c>
      <c r="H168" s="194">
        <v>0</v>
      </c>
      <c r="I168" s="194">
        <v>0</v>
      </c>
      <c r="J168" s="194">
        <v>1</v>
      </c>
      <c r="K168" s="194">
        <v>0</v>
      </c>
      <c r="L168" s="194">
        <v>16</v>
      </c>
      <c r="M168" s="194">
        <v>0</v>
      </c>
    </row>
    <row r="169" spans="1:13" s="204" customFormat="1" ht="18.600000000000001" customHeight="1">
      <c r="A169" s="187" t="s">
        <v>39</v>
      </c>
      <c r="B169" s="194">
        <v>6</v>
      </c>
      <c r="C169" s="194">
        <v>524</v>
      </c>
      <c r="D169" s="194">
        <v>60</v>
      </c>
      <c r="E169" s="194">
        <v>0</v>
      </c>
      <c r="F169" s="194">
        <v>10</v>
      </c>
      <c r="G169" s="194">
        <v>146</v>
      </c>
      <c r="H169" s="194">
        <v>1</v>
      </c>
      <c r="I169" s="194">
        <v>0</v>
      </c>
      <c r="J169" s="194">
        <v>2</v>
      </c>
      <c r="K169" s="194">
        <v>0</v>
      </c>
      <c r="L169" s="194">
        <v>21</v>
      </c>
      <c r="M169" s="194">
        <v>1</v>
      </c>
    </row>
    <row r="170" spans="1:13" s="204" customFormat="1" ht="18.600000000000001" customHeight="1">
      <c r="A170" s="187" t="s">
        <v>40</v>
      </c>
      <c r="B170" s="194">
        <v>2</v>
      </c>
      <c r="C170" s="194">
        <v>26</v>
      </c>
      <c r="D170" s="194">
        <v>0</v>
      </c>
      <c r="E170" s="194">
        <v>0</v>
      </c>
      <c r="F170" s="194">
        <v>1</v>
      </c>
      <c r="G170" s="194">
        <v>20</v>
      </c>
      <c r="H170" s="194">
        <v>0</v>
      </c>
      <c r="I170" s="194">
        <v>0</v>
      </c>
      <c r="J170" s="194">
        <v>0</v>
      </c>
      <c r="K170" s="194">
        <v>0</v>
      </c>
      <c r="L170" s="194">
        <v>13</v>
      </c>
      <c r="M170" s="194">
        <v>0</v>
      </c>
    </row>
    <row r="171" spans="1:13" s="204" customFormat="1" ht="18.600000000000001" customHeight="1">
      <c r="A171" s="186" t="s">
        <v>19</v>
      </c>
      <c r="B171" s="193">
        <f t="shared" ref="B171:M171" si="42">SUM(B172:B173)</f>
        <v>8</v>
      </c>
      <c r="C171" s="193">
        <f t="shared" si="42"/>
        <v>772</v>
      </c>
      <c r="D171" s="193">
        <f t="shared" si="42"/>
        <v>18</v>
      </c>
      <c r="E171" s="193">
        <f t="shared" si="42"/>
        <v>0</v>
      </c>
      <c r="F171" s="193">
        <f t="shared" si="42"/>
        <v>4</v>
      </c>
      <c r="G171" s="193">
        <f t="shared" si="42"/>
        <v>74</v>
      </c>
      <c r="H171" s="193">
        <f t="shared" si="42"/>
        <v>1</v>
      </c>
      <c r="I171" s="193">
        <f t="shared" si="42"/>
        <v>0</v>
      </c>
      <c r="J171" s="193">
        <f t="shared" si="42"/>
        <v>2</v>
      </c>
      <c r="K171" s="193">
        <f t="shared" si="42"/>
        <v>0</v>
      </c>
      <c r="L171" s="193">
        <f t="shared" si="42"/>
        <v>49</v>
      </c>
      <c r="M171" s="193">
        <f t="shared" si="42"/>
        <v>1</v>
      </c>
    </row>
    <row r="172" spans="1:13" s="204" customFormat="1" ht="18.600000000000001" customHeight="1">
      <c r="A172" s="187" t="s">
        <v>20</v>
      </c>
      <c r="B172" s="195">
        <v>6</v>
      </c>
      <c r="C172" s="195">
        <v>604</v>
      </c>
      <c r="D172" s="194">
        <v>16</v>
      </c>
      <c r="E172" s="194">
        <v>0</v>
      </c>
      <c r="F172" s="194">
        <v>3</v>
      </c>
      <c r="G172" s="194">
        <v>52</v>
      </c>
      <c r="H172" s="194">
        <v>1</v>
      </c>
      <c r="I172" s="194">
        <v>0</v>
      </c>
      <c r="J172" s="194">
        <v>1</v>
      </c>
      <c r="K172" s="194">
        <v>0</v>
      </c>
      <c r="L172" s="195">
        <v>35</v>
      </c>
      <c r="M172" s="194">
        <v>1</v>
      </c>
    </row>
    <row r="173" spans="1:13" s="204" customFormat="1" ht="18.600000000000001" customHeight="1">
      <c r="A173" s="187" t="s">
        <v>21</v>
      </c>
      <c r="B173" s="194">
        <v>2</v>
      </c>
      <c r="C173" s="194">
        <v>168</v>
      </c>
      <c r="D173" s="194">
        <v>2</v>
      </c>
      <c r="E173" s="194">
        <v>0</v>
      </c>
      <c r="F173" s="194">
        <v>1</v>
      </c>
      <c r="G173" s="194">
        <v>22</v>
      </c>
      <c r="H173" s="194">
        <v>0</v>
      </c>
      <c r="I173" s="194">
        <v>0</v>
      </c>
      <c r="J173" s="194">
        <v>1</v>
      </c>
      <c r="K173" s="194">
        <v>0</v>
      </c>
      <c r="L173" s="195">
        <v>14</v>
      </c>
      <c r="M173" s="194">
        <v>0</v>
      </c>
    </row>
    <row r="174" spans="1:13" s="204" customFormat="1" ht="18.600000000000001" customHeight="1">
      <c r="A174" s="186" t="s">
        <v>14</v>
      </c>
      <c r="B174" s="193">
        <f t="shared" ref="B174:M174" si="43">SUM(B175)</f>
        <v>9</v>
      </c>
      <c r="C174" s="193">
        <f t="shared" si="43"/>
        <v>1024</v>
      </c>
      <c r="D174" s="193">
        <f t="shared" si="43"/>
        <v>14</v>
      </c>
      <c r="E174" s="193">
        <f t="shared" si="43"/>
        <v>12</v>
      </c>
      <c r="F174" s="193">
        <f t="shared" si="43"/>
        <v>5</v>
      </c>
      <c r="G174" s="193">
        <f t="shared" si="43"/>
        <v>70</v>
      </c>
      <c r="H174" s="193">
        <f t="shared" si="43"/>
        <v>1</v>
      </c>
      <c r="I174" s="193">
        <f t="shared" si="43"/>
        <v>0</v>
      </c>
      <c r="J174" s="193">
        <f t="shared" si="43"/>
        <v>2</v>
      </c>
      <c r="K174" s="193">
        <f t="shared" si="43"/>
        <v>0</v>
      </c>
      <c r="L174" s="193">
        <f t="shared" si="43"/>
        <v>29</v>
      </c>
      <c r="M174" s="193">
        <f t="shared" si="43"/>
        <v>0</v>
      </c>
    </row>
    <row r="175" spans="1:13" s="204" customFormat="1" ht="18.600000000000001" customHeight="1">
      <c r="A175" s="187" t="s">
        <v>15</v>
      </c>
      <c r="B175" s="194">
        <v>9</v>
      </c>
      <c r="C175" s="194">
        <v>1024</v>
      </c>
      <c r="D175" s="195">
        <v>14</v>
      </c>
      <c r="E175" s="195">
        <v>12</v>
      </c>
      <c r="F175" s="194">
        <v>5</v>
      </c>
      <c r="G175" s="194">
        <v>70</v>
      </c>
      <c r="H175" s="194">
        <v>1</v>
      </c>
      <c r="I175" s="194">
        <v>0</v>
      </c>
      <c r="J175" s="194">
        <v>2</v>
      </c>
      <c r="K175" s="194">
        <v>0</v>
      </c>
      <c r="L175" s="194">
        <v>29</v>
      </c>
      <c r="M175" s="194">
        <v>0</v>
      </c>
    </row>
    <row r="176" spans="1:13" s="204" customFormat="1" ht="18.600000000000001" customHeight="1">
      <c r="A176" s="190"/>
      <c r="B176" s="207"/>
      <c r="C176" s="207"/>
      <c r="D176" s="208"/>
      <c r="E176" s="208"/>
      <c r="F176" s="207"/>
      <c r="G176" s="207"/>
      <c r="H176" s="207"/>
      <c r="I176" s="207"/>
      <c r="J176" s="207"/>
      <c r="K176" s="207"/>
      <c r="L176" s="207"/>
      <c r="M176" s="192" t="s">
        <v>90</v>
      </c>
    </row>
    <row r="177" spans="1:13" ht="60" customHeight="1">
      <c r="A177" s="263" t="s">
        <v>282</v>
      </c>
      <c r="B177" s="263"/>
      <c r="C177" s="263"/>
      <c r="D177" s="263"/>
      <c r="E177" s="263"/>
      <c r="F177" s="263"/>
      <c r="G177" s="263"/>
      <c r="H177" s="263"/>
      <c r="I177" s="263"/>
      <c r="J177" s="263"/>
      <c r="K177" s="263"/>
      <c r="L177" s="263"/>
      <c r="M177" s="263"/>
    </row>
    <row r="178" spans="1:13" s="202" customFormat="1" ht="13.35" customHeight="1">
      <c r="A178" s="182" t="s">
        <v>279</v>
      </c>
      <c r="B178" s="182"/>
      <c r="C178" s="182"/>
      <c r="D178" s="182"/>
      <c r="E178" s="182"/>
      <c r="F178" s="203" t="s">
        <v>186</v>
      </c>
      <c r="G178" s="182"/>
      <c r="H178" s="182"/>
      <c r="I178" s="182"/>
      <c r="J178" s="182"/>
      <c r="K178" s="182"/>
      <c r="L178" s="264" t="s">
        <v>89</v>
      </c>
      <c r="M178" s="264"/>
    </row>
    <row r="179" spans="1:13" s="204" customFormat="1" ht="22.5" customHeight="1">
      <c r="A179" s="265" t="s">
        <v>7</v>
      </c>
      <c r="B179" s="265" t="s">
        <v>1</v>
      </c>
      <c r="C179" s="265"/>
      <c r="D179" s="265" t="s">
        <v>4</v>
      </c>
      <c r="E179" s="265"/>
      <c r="F179" s="265" t="s">
        <v>5</v>
      </c>
      <c r="G179" s="265"/>
      <c r="H179" s="265" t="s">
        <v>6</v>
      </c>
      <c r="I179" s="265"/>
      <c r="J179" s="266" t="s">
        <v>271</v>
      </c>
      <c r="K179" s="266" t="s">
        <v>9</v>
      </c>
      <c r="L179" s="266" t="s">
        <v>11</v>
      </c>
      <c r="M179" s="266" t="s">
        <v>10</v>
      </c>
    </row>
    <row r="180" spans="1:13" s="204" customFormat="1" ht="22.5" customHeight="1">
      <c r="A180" s="265"/>
      <c r="B180" s="183" t="s">
        <v>2</v>
      </c>
      <c r="C180" s="183" t="s">
        <v>3</v>
      </c>
      <c r="D180" s="183" t="s">
        <v>2</v>
      </c>
      <c r="E180" s="183" t="s">
        <v>3</v>
      </c>
      <c r="F180" s="183" t="s">
        <v>2</v>
      </c>
      <c r="G180" s="183" t="s">
        <v>3</v>
      </c>
      <c r="H180" s="183" t="s">
        <v>2</v>
      </c>
      <c r="I180" s="183" t="s">
        <v>3</v>
      </c>
      <c r="J180" s="266"/>
      <c r="K180" s="266"/>
      <c r="L180" s="266"/>
      <c r="M180" s="266"/>
    </row>
    <row r="181" spans="1:13" s="204" customFormat="1" ht="18.600000000000001" customHeight="1">
      <c r="A181" s="186" t="s">
        <v>12</v>
      </c>
      <c r="B181" s="193">
        <f t="shared" ref="B181:M181" si="44">SUM(B182)</f>
        <v>22</v>
      </c>
      <c r="C181" s="193">
        <f t="shared" si="44"/>
        <v>5292</v>
      </c>
      <c r="D181" s="193">
        <f t="shared" si="44"/>
        <v>45</v>
      </c>
      <c r="E181" s="193">
        <f t="shared" si="44"/>
        <v>0</v>
      </c>
      <c r="F181" s="193">
        <f t="shared" si="44"/>
        <v>4</v>
      </c>
      <c r="G181" s="193">
        <f t="shared" si="44"/>
        <v>38</v>
      </c>
      <c r="H181" s="193">
        <f t="shared" si="44"/>
        <v>5</v>
      </c>
      <c r="I181" s="193">
        <f t="shared" si="44"/>
        <v>52</v>
      </c>
      <c r="J181" s="193">
        <f t="shared" si="44"/>
        <v>5</v>
      </c>
      <c r="K181" s="193">
        <f t="shared" si="44"/>
        <v>0</v>
      </c>
      <c r="L181" s="193">
        <f t="shared" si="44"/>
        <v>54</v>
      </c>
      <c r="M181" s="193">
        <f t="shared" si="44"/>
        <v>0</v>
      </c>
    </row>
    <row r="182" spans="1:13" s="204" customFormat="1" ht="18.600000000000001" customHeight="1">
      <c r="A182" s="187" t="s">
        <v>13</v>
      </c>
      <c r="B182" s="194">
        <v>22</v>
      </c>
      <c r="C182" s="194">
        <v>5292</v>
      </c>
      <c r="D182" s="194">
        <v>45</v>
      </c>
      <c r="E182" s="194">
        <v>0</v>
      </c>
      <c r="F182" s="194">
        <v>4</v>
      </c>
      <c r="G182" s="194">
        <v>38</v>
      </c>
      <c r="H182" s="194">
        <v>5</v>
      </c>
      <c r="I182" s="194">
        <v>52</v>
      </c>
      <c r="J182" s="194">
        <v>5</v>
      </c>
      <c r="K182" s="194">
        <v>0</v>
      </c>
      <c r="L182" s="194">
        <v>54</v>
      </c>
      <c r="M182" s="194">
        <v>0</v>
      </c>
    </row>
    <row r="183" spans="1:13" s="204" customFormat="1" ht="18.600000000000001" customHeight="1">
      <c r="A183" s="186" t="s">
        <v>73</v>
      </c>
      <c r="B183" s="193">
        <f t="shared" ref="B183:M183" si="45">SUM(B184:B188)</f>
        <v>4</v>
      </c>
      <c r="C183" s="193">
        <f t="shared" si="45"/>
        <v>430</v>
      </c>
      <c r="D183" s="193">
        <f t="shared" si="45"/>
        <v>12</v>
      </c>
      <c r="E183" s="193">
        <f t="shared" si="45"/>
        <v>0</v>
      </c>
      <c r="F183" s="193">
        <f t="shared" si="45"/>
        <v>1</v>
      </c>
      <c r="G183" s="193">
        <f t="shared" si="45"/>
        <v>12</v>
      </c>
      <c r="H183" s="193">
        <f t="shared" si="45"/>
        <v>5</v>
      </c>
      <c r="I183" s="193">
        <f t="shared" si="45"/>
        <v>0</v>
      </c>
      <c r="J183" s="193">
        <f t="shared" si="45"/>
        <v>1</v>
      </c>
      <c r="K183" s="193">
        <f t="shared" si="45"/>
        <v>0</v>
      </c>
      <c r="L183" s="193">
        <f t="shared" si="45"/>
        <v>19</v>
      </c>
      <c r="M183" s="193">
        <f t="shared" si="45"/>
        <v>0</v>
      </c>
    </row>
    <row r="184" spans="1:13" s="204" customFormat="1" ht="18.600000000000001" customHeight="1">
      <c r="A184" s="187" t="s">
        <v>74</v>
      </c>
      <c r="B184" s="194">
        <v>1</v>
      </c>
      <c r="C184" s="194">
        <v>210</v>
      </c>
      <c r="D184" s="195">
        <v>6</v>
      </c>
      <c r="E184" s="194">
        <v>0</v>
      </c>
      <c r="F184" s="194">
        <v>1</v>
      </c>
      <c r="G184" s="194">
        <v>12</v>
      </c>
      <c r="H184" s="195">
        <v>2</v>
      </c>
      <c r="I184" s="195">
        <v>0</v>
      </c>
      <c r="J184" s="194">
        <v>0</v>
      </c>
      <c r="K184" s="194">
        <v>0</v>
      </c>
      <c r="L184" s="194">
        <v>12</v>
      </c>
      <c r="M184" s="194">
        <v>0</v>
      </c>
    </row>
    <row r="185" spans="1:13" s="204" customFormat="1" ht="18.600000000000001" customHeight="1">
      <c r="A185" s="187" t="s">
        <v>75</v>
      </c>
      <c r="B185" s="194">
        <v>1</v>
      </c>
      <c r="C185" s="194">
        <v>60</v>
      </c>
      <c r="D185" s="195">
        <v>1</v>
      </c>
      <c r="E185" s="194">
        <v>0</v>
      </c>
      <c r="F185" s="194">
        <v>0</v>
      </c>
      <c r="G185" s="194">
        <v>0</v>
      </c>
      <c r="H185" s="195">
        <v>1</v>
      </c>
      <c r="I185" s="195">
        <v>0</v>
      </c>
      <c r="J185" s="194">
        <v>0</v>
      </c>
      <c r="K185" s="194">
        <v>0</v>
      </c>
      <c r="L185" s="194">
        <v>2</v>
      </c>
      <c r="M185" s="194">
        <v>0</v>
      </c>
    </row>
    <row r="186" spans="1:13" s="204" customFormat="1" ht="18.600000000000001" customHeight="1">
      <c r="A186" s="187" t="s">
        <v>76</v>
      </c>
      <c r="B186" s="194">
        <v>1</v>
      </c>
      <c r="C186" s="194">
        <v>60</v>
      </c>
      <c r="D186" s="195">
        <v>0</v>
      </c>
      <c r="E186" s="194">
        <v>0</v>
      </c>
      <c r="F186" s="194">
        <v>0</v>
      </c>
      <c r="G186" s="194">
        <v>0</v>
      </c>
      <c r="H186" s="195">
        <v>1</v>
      </c>
      <c r="I186" s="195">
        <v>0</v>
      </c>
      <c r="J186" s="194">
        <v>1</v>
      </c>
      <c r="K186" s="194">
        <v>0</v>
      </c>
      <c r="L186" s="194">
        <v>0</v>
      </c>
      <c r="M186" s="194">
        <v>0</v>
      </c>
    </row>
    <row r="187" spans="1:13" s="204" customFormat="1" ht="18.600000000000001" customHeight="1">
      <c r="A187" s="187" t="s">
        <v>78</v>
      </c>
      <c r="B187" s="194">
        <v>0</v>
      </c>
      <c r="C187" s="194">
        <v>0</v>
      </c>
      <c r="D187" s="195">
        <v>0</v>
      </c>
      <c r="E187" s="194">
        <v>0</v>
      </c>
      <c r="F187" s="194">
        <v>0</v>
      </c>
      <c r="G187" s="194">
        <v>0</v>
      </c>
      <c r="H187" s="195">
        <v>0</v>
      </c>
      <c r="I187" s="195">
        <v>0</v>
      </c>
      <c r="J187" s="194">
        <v>0</v>
      </c>
      <c r="K187" s="194">
        <v>0</v>
      </c>
      <c r="L187" s="194">
        <v>0</v>
      </c>
      <c r="M187" s="194">
        <v>0</v>
      </c>
    </row>
    <row r="188" spans="1:13" s="204" customFormat="1" ht="18.600000000000001" customHeight="1">
      <c r="A188" s="187" t="s">
        <v>77</v>
      </c>
      <c r="B188" s="194">
        <v>1</v>
      </c>
      <c r="C188" s="194">
        <v>100</v>
      </c>
      <c r="D188" s="195">
        <v>5</v>
      </c>
      <c r="E188" s="194">
        <v>0</v>
      </c>
      <c r="F188" s="194">
        <v>0</v>
      </c>
      <c r="G188" s="194">
        <v>0</v>
      </c>
      <c r="H188" s="195">
        <v>1</v>
      </c>
      <c r="I188" s="195">
        <v>0</v>
      </c>
      <c r="J188" s="194">
        <v>0</v>
      </c>
      <c r="K188" s="194">
        <v>0</v>
      </c>
      <c r="L188" s="194">
        <v>5</v>
      </c>
      <c r="M188" s="194">
        <v>0</v>
      </c>
    </row>
    <row r="189" spans="1:13" s="204" customFormat="1" ht="18.600000000000001" customHeight="1">
      <c r="A189" s="186" t="s">
        <v>22</v>
      </c>
      <c r="B189" s="193">
        <f t="shared" ref="B189:M189" si="46">SUM(B190:B191)</f>
        <v>7</v>
      </c>
      <c r="C189" s="193">
        <f t="shared" si="46"/>
        <v>670</v>
      </c>
      <c r="D189" s="193">
        <f t="shared" si="46"/>
        <v>10</v>
      </c>
      <c r="E189" s="193">
        <f t="shared" si="46"/>
        <v>0</v>
      </c>
      <c r="F189" s="193">
        <f t="shared" si="46"/>
        <v>8</v>
      </c>
      <c r="G189" s="193">
        <f t="shared" si="46"/>
        <v>160</v>
      </c>
      <c r="H189" s="193">
        <f t="shared" si="46"/>
        <v>2</v>
      </c>
      <c r="I189" s="193">
        <f t="shared" si="46"/>
        <v>0</v>
      </c>
      <c r="J189" s="193">
        <f t="shared" si="46"/>
        <v>3</v>
      </c>
      <c r="K189" s="193">
        <f t="shared" si="46"/>
        <v>0</v>
      </c>
      <c r="L189" s="193">
        <f t="shared" si="46"/>
        <v>35</v>
      </c>
      <c r="M189" s="193">
        <f t="shared" si="46"/>
        <v>1</v>
      </c>
    </row>
    <row r="190" spans="1:13" s="204" customFormat="1" ht="18.600000000000001" customHeight="1">
      <c r="A190" s="187" t="s">
        <v>24</v>
      </c>
      <c r="B190" s="195">
        <v>1</v>
      </c>
      <c r="C190" s="195">
        <v>110</v>
      </c>
      <c r="D190" s="194">
        <v>0</v>
      </c>
      <c r="E190" s="194">
        <v>0</v>
      </c>
      <c r="F190" s="194">
        <v>1</v>
      </c>
      <c r="G190" s="194">
        <v>20</v>
      </c>
      <c r="H190" s="194">
        <v>0</v>
      </c>
      <c r="I190" s="194">
        <v>0</v>
      </c>
      <c r="J190" s="194">
        <v>1</v>
      </c>
      <c r="K190" s="194">
        <v>0</v>
      </c>
      <c r="L190" s="194">
        <v>9</v>
      </c>
      <c r="M190" s="194">
        <v>0</v>
      </c>
    </row>
    <row r="191" spans="1:13" s="204" customFormat="1" ht="18.600000000000001" customHeight="1">
      <c r="A191" s="187" t="s">
        <v>23</v>
      </c>
      <c r="B191" s="195">
        <v>6</v>
      </c>
      <c r="C191" s="195">
        <v>560</v>
      </c>
      <c r="D191" s="195">
        <v>10</v>
      </c>
      <c r="E191" s="194">
        <v>0</v>
      </c>
      <c r="F191" s="194">
        <v>7</v>
      </c>
      <c r="G191" s="194">
        <v>140</v>
      </c>
      <c r="H191" s="194">
        <v>2</v>
      </c>
      <c r="I191" s="194">
        <v>0</v>
      </c>
      <c r="J191" s="194">
        <v>2</v>
      </c>
      <c r="K191" s="194">
        <v>0</v>
      </c>
      <c r="L191" s="194">
        <v>26</v>
      </c>
      <c r="M191" s="194">
        <v>1</v>
      </c>
    </row>
    <row r="192" spans="1:13" s="204" customFormat="1" ht="18.600000000000001" customHeight="1">
      <c r="A192" s="186" t="s">
        <v>70</v>
      </c>
      <c r="B192" s="193">
        <f t="shared" ref="B192:M192" si="47">SUM(B193:B194)</f>
        <v>10</v>
      </c>
      <c r="C192" s="193">
        <f t="shared" si="47"/>
        <v>847</v>
      </c>
      <c r="D192" s="193">
        <f t="shared" si="47"/>
        <v>20</v>
      </c>
      <c r="E192" s="193">
        <f t="shared" si="47"/>
        <v>0</v>
      </c>
      <c r="F192" s="193">
        <f t="shared" si="47"/>
        <v>3</v>
      </c>
      <c r="G192" s="193">
        <f t="shared" si="47"/>
        <v>44</v>
      </c>
      <c r="H192" s="193">
        <f t="shared" si="47"/>
        <v>1</v>
      </c>
      <c r="I192" s="193">
        <f t="shared" si="47"/>
        <v>0</v>
      </c>
      <c r="J192" s="193">
        <f t="shared" si="47"/>
        <v>3</v>
      </c>
      <c r="K192" s="193">
        <f t="shared" si="47"/>
        <v>0</v>
      </c>
      <c r="L192" s="193">
        <f t="shared" si="47"/>
        <v>41</v>
      </c>
      <c r="M192" s="193">
        <f t="shared" si="47"/>
        <v>3</v>
      </c>
    </row>
    <row r="193" spans="1:13" s="204" customFormat="1" ht="18.600000000000001" customHeight="1">
      <c r="A193" s="187" t="s">
        <v>72</v>
      </c>
      <c r="B193" s="195">
        <v>1</v>
      </c>
      <c r="C193" s="195">
        <v>110</v>
      </c>
      <c r="D193" s="195">
        <v>3</v>
      </c>
      <c r="E193" s="194">
        <v>0</v>
      </c>
      <c r="F193" s="194">
        <v>1</v>
      </c>
      <c r="G193" s="194">
        <v>10</v>
      </c>
      <c r="H193" s="194">
        <v>0</v>
      </c>
      <c r="I193" s="194">
        <v>0</v>
      </c>
      <c r="J193" s="194">
        <v>0</v>
      </c>
      <c r="K193" s="194">
        <v>0</v>
      </c>
      <c r="L193" s="194">
        <v>11</v>
      </c>
      <c r="M193" s="194">
        <v>1</v>
      </c>
    </row>
    <row r="194" spans="1:13" s="204" customFormat="1" ht="18.600000000000001" customHeight="1">
      <c r="A194" s="187" t="s">
        <v>71</v>
      </c>
      <c r="B194" s="194">
        <v>9</v>
      </c>
      <c r="C194" s="195">
        <v>737</v>
      </c>
      <c r="D194" s="195">
        <v>17</v>
      </c>
      <c r="E194" s="194">
        <v>0</v>
      </c>
      <c r="F194" s="194">
        <v>2</v>
      </c>
      <c r="G194" s="194">
        <v>34</v>
      </c>
      <c r="H194" s="194">
        <v>1</v>
      </c>
      <c r="I194" s="194">
        <v>0</v>
      </c>
      <c r="J194" s="194">
        <v>3</v>
      </c>
      <c r="K194" s="194">
        <v>0</v>
      </c>
      <c r="L194" s="194">
        <v>30</v>
      </c>
      <c r="M194" s="194">
        <v>2</v>
      </c>
    </row>
    <row r="195" spans="1:13" s="204" customFormat="1" ht="18.600000000000001" customHeight="1">
      <c r="A195" s="186" t="s">
        <v>50</v>
      </c>
      <c r="B195" s="193">
        <f t="shared" ref="B195:M195" si="48">SUM(B196)</f>
        <v>5</v>
      </c>
      <c r="C195" s="193">
        <f t="shared" si="48"/>
        <v>198</v>
      </c>
      <c r="D195" s="193">
        <f t="shared" si="48"/>
        <v>48</v>
      </c>
      <c r="E195" s="193">
        <f t="shared" si="48"/>
        <v>0</v>
      </c>
      <c r="F195" s="193">
        <f t="shared" si="48"/>
        <v>3</v>
      </c>
      <c r="G195" s="193">
        <f t="shared" si="48"/>
        <v>54</v>
      </c>
      <c r="H195" s="193">
        <f t="shared" si="48"/>
        <v>4</v>
      </c>
      <c r="I195" s="193">
        <f t="shared" si="48"/>
        <v>0</v>
      </c>
      <c r="J195" s="193">
        <f t="shared" si="48"/>
        <v>1</v>
      </c>
      <c r="K195" s="193">
        <f t="shared" si="48"/>
        <v>2</v>
      </c>
      <c r="L195" s="193">
        <f t="shared" si="48"/>
        <v>23</v>
      </c>
      <c r="M195" s="193">
        <f t="shared" si="48"/>
        <v>0</v>
      </c>
    </row>
    <row r="196" spans="1:13" s="204" customFormat="1" ht="18.600000000000001" customHeight="1">
      <c r="A196" s="187" t="s">
        <v>51</v>
      </c>
      <c r="B196" s="194">
        <v>5</v>
      </c>
      <c r="C196" s="194">
        <v>198</v>
      </c>
      <c r="D196" s="194">
        <v>48</v>
      </c>
      <c r="E196" s="194">
        <v>0</v>
      </c>
      <c r="F196" s="194">
        <v>3</v>
      </c>
      <c r="G196" s="194">
        <v>54</v>
      </c>
      <c r="H196" s="194">
        <v>4</v>
      </c>
      <c r="I196" s="194">
        <v>0</v>
      </c>
      <c r="J196" s="194">
        <v>1</v>
      </c>
      <c r="K196" s="194">
        <v>2</v>
      </c>
      <c r="L196" s="194">
        <v>23</v>
      </c>
      <c r="M196" s="194">
        <v>0</v>
      </c>
    </row>
    <row r="197" spans="1:13" ht="18.600000000000001" customHeight="1">
      <c r="A197" s="186" t="s">
        <v>63</v>
      </c>
      <c r="B197" s="193">
        <f t="shared" ref="B197:M197" si="49">SUM(B198:B199)</f>
        <v>5</v>
      </c>
      <c r="C197" s="193">
        <f t="shared" si="49"/>
        <v>488</v>
      </c>
      <c r="D197" s="193">
        <f t="shared" si="49"/>
        <v>11</v>
      </c>
      <c r="E197" s="193">
        <f t="shared" si="49"/>
        <v>0</v>
      </c>
      <c r="F197" s="193">
        <f t="shared" si="49"/>
        <v>4</v>
      </c>
      <c r="G197" s="193">
        <f t="shared" si="49"/>
        <v>80</v>
      </c>
      <c r="H197" s="193">
        <f t="shared" si="49"/>
        <v>1</v>
      </c>
      <c r="I197" s="193">
        <f t="shared" si="49"/>
        <v>0</v>
      </c>
      <c r="J197" s="193">
        <f t="shared" si="49"/>
        <v>1</v>
      </c>
      <c r="K197" s="193">
        <f t="shared" si="49"/>
        <v>3</v>
      </c>
      <c r="L197" s="193">
        <f t="shared" si="49"/>
        <v>30</v>
      </c>
      <c r="M197" s="193">
        <f t="shared" si="49"/>
        <v>3</v>
      </c>
    </row>
    <row r="198" spans="1:13" ht="18.600000000000001" customHeight="1">
      <c r="A198" s="187" t="s">
        <v>64</v>
      </c>
      <c r="B198" s="195">
        <v>4</v>
      </c>
      <c r="C198" s="195">
        <v>428</v>
      </c>
      <c r="D198" s="195">
        <v>7</v>
      </c>
      <c r="E198" s="195">
        <v>0</v>
      </c>
      <c r="F198" s="194">
        <v>4</v>
      </c>
      <c r="G198" s="194">
        <v>80</v>
      </c>
      <c r="H198" s="194">
        <v>1</v>
      </c>
      <c r="I198" s="194">
        <v>0</v>
      </c>
      <c r="J198" s="194">
        <v>0</v>
      </c>
      <c r="K198" s="194">
        <v>1</v>
      </c>
      <c r="L198" s="195">
        <v>19</v>
      </c>
      <c r="M198" s="195">
        <v>2</v>
      </c>
    </row>
    <row r="199" spans="1:13" ht="18.600000000000001" customHeight="1">
      <c r="A199" s="187" t="s">
        <v>65</v>
      </c>
      <c r="B199" s="195">
        <v>1</v>
      </c>
      <c r="C199" s="195">
        <v>60</v>
      </c>
      <c r="D199" s="195">
        <v>4</v>
      </c>
      <c r="E199" s="195">
        <v>0</v>
      </c>
      <c r="F199" s="194">
        <v>0</v>
      </c>
      <c r="G199" s="194">
        <v>0</v>
      </c>
      <c r="H199" s="194">
        <v>0</v>
      </c>
      <c r="I199" s="194">
        <v>0</v>
      </c>
      <c r="J199" s="194">
        <v>1</v>
      </c>
      <c r="K199" s="194">
        <v>2</v>
      </c>
      <c r="L199" s="195">
        <v>11</v>
      </c>
      <c r="M199" s="195">
        <v>1</v>
      </c>
    </row>
    <row r="200" spans="1:13" s="28" customFormat="1" ht="18.600000000000001" customHeight="1">
      <c r="A200" s="209" t="s">
        <v>187</v>
      </c>
      <c r="B200" s="199">
        <v>0</v>
      </c>
      <c r="C200" s="199">
        <v>0</v>
      </c>
      <c r="D200" s="199">
        <v>0</v>
      </c>
      <c r="E200" s="199">
        <v>0</v>
      </c>
      <c r="F200" s="199">
        <v>0</v>
      </c>
      <c r="G200" s="199">
        <v>0</v>
      </c>
      <c r="H200" s="199">
        <v>0</v>
      </c>
      <c r="I200" s="199">
        <v>0</v>
      </c>
      <c r="J200" s="199">
        <v>0</v>
      </c>
      <c r="K200" s="199">
        <v>0</v>
      </c>
      <c r="L200" s="199">
        <v>10</v>
      </c>
      <c r="M200" s="199">
        <v>0</v>
      </c>
    </row>
    <row r="201" spans="1:13" ht="18.600000000000001" customHeight="1">
      <c r="A201" s="187" t="s">
        <v>187</v>
      </c>
      <c r="B201" s="195">
        <v>0</v>
      </c>
      <c r="C201" s="195">
        <v>0</v>
      </c>
      <c r="D201" s="195">
        <v>0</v>
      </c>
      <c r="E201" s="195">
        <v>0</v>
      </c>
      <c r="F201" s="194">
        <v>0</v>
      </c>
      <c r="G201" s="194">
        <v>0</v>
      </c>
      <c r="H201" s="194">
        <v>0</v>
      </c>
      <c r="I201" s="194">
        <v>0</v>
      </c>
      <c r="J201" s="194">
        <v>0</v>
      </c>
      <c r="K201" s="194">
        <v>0</v>
      </c>
      <c r="L201" s="195">
        <v>10</v>
      </c>
      <c r="M201" s="195">
        <v>0</v>
      </c>
    </row>
    <row r="202" spans="1:13" s="182" customFormat="1" ht="18.600000000000001" customHeight="1">
      <c r="A202" s="186" t="s">
        <v>185</v>
      </c>
      <c r="B202" s="198">
        <v>4</v>
      </c>
      <c r="C202" s="198">
        <v>569</v>
      </c>
      <c r="D202" s="198">
        <v>8</v>
      </c>
      <c r="E202" s="199">
        <v>0</v>
      </c>
      <c r="F202" s="199">
        <v>2</v>
      </c>
      <c r="G202" s="199">
        <v>32</v>
      </c>
      <c r="H202" s="199">
        <v>3</v>
      </c>
      <c r="I202" s="199">
        <v>0</v>
      </c>
      <c r="J202" s="199">
        <v>0</v>
      </c>
      <c r="K202" s="199">
        <v>0</v>
      </c>
      <c r="L202" s="199">
        <v>19</v>
      </c>
      <c r="M202" s="199">
        <v>0</v>
      </c>
    </row>
    <row r="203" spans="1:13" s="182" customFormat="1" ht="18.600000000000001" customHeight="1">
      <c r="A203" s="186" t="s">
        <v>181</v>
      </c>
      <c r="B203" s="198">
        <v>2</v>
      </c>
      <c r="C203" s="198">
        <v>118</v>
      </c>
      <c r="D203" s="198">
        <v>19</v>
      </c>
      <c r="E203" s="199">
        <v>0</v>
      </c>
      <c r="F203" s="199">
        <v>3</v>
      </c>
      <c r="G203" s="199">
        <v>24</v>
      </c>
      <c r="H203" s="199">
        <v>3</v>
      </c>
      <c r="I203" s="199">
        <v>0</v>
      </c>
      <c r="J203" s="199">
        <v>0</v>
      </c>
      <c r="K203" s="199">
        <v>0</v>
      </c>
      <c r="L203" s="199">
        <v>25</v>
      </c>
      <c r="M203" s="199">
        <v>0</v>
      </c>
    </row>
    <row r="204" spans="1:13" s="182" customFormat="1" ht="18.600000000000001" customHeight="1">
      <c r="A204" s="186" t="s">
        <v>179</v>
      </c>
      <c r="B204" s="198">
        <v>5</v>
      </c>
      <c r="C204" s="198">
        <v>232</v>
      </c>
      <c r="D204" s="198">
        <v>26</v>
      </c>
      <c r="E204" s="199">
        <v>0</v>
      </c>
      <c r="F204" s="199">
        <v>0</v>
      </c>
      <c r="G204" s="199">
        <v>0</v>
      </c>
      <c r="H204" s="199">
        <v>4</v>
      </c>
      <c r="I204" s="199">
        <v>0</v>
      </c>
      <c r="J204" s="199">
        <v>2</v>
      </c>
      <c r="K204" s="199">
        <v>0</v>
      </c>
      <c r="L204" s="199">
        <v>13</v>
      </c>
      <c r="M204" s="199">
        <v>0</v>
      </c>
    </row>
    <row r="205" spans="1:13" s="182" customFormat="1" ht="18.600000000000001" customHeight="1">
      <c r="A205" s="186" t="s">
        <v>180</v>
      </c>
      <c r="B205" s="198">
        <v>4</v>
      </c>
      <c r="C205" s="198">
        <v>472</v>
      </c>
      <c r="D205" s="198">
        <v>47</v>
      </c>
      <c r="E205" s="199">
        <v>0</v>
      </c>
      <c r="F205" s="199">
        <v>0</v>
      </c>
      <c r="G205" s="199">
        <v>0</v>
      </c>
      <c r="H205" s="199">
        <v>3</v>
      </c>
      <c r="I205" s="199">
        <v>0</v>
      </c>
      <c r="J205" s="199">
        <v>1</v>
      </c>
      <c r="K205" s="199">
        <v>0</v>
      </c>
      <c r="L205" s="199">
        <v>22</v>
      </c>
      <c r="M205" s="199">
        <v>0</v>
      </c>
    </row>
    <row r="206" spans="1:13" s="182" customFormat="1" ht="18.600000000000001" customHeight="1">
      <c r="A206" s="186" t="s">
        <v>182</v>
      </c>
      <c r="B206" s="198">
        <v>5</v>
      </c>
      <c r="C206" s="198">
        <v>270</v>
      </c>
      <c r="D206" s="198">
        <v>30</v>
      </c>
      <c r="E206" s="199">
        <v>0</v>
      </c>
      <c r="F206" s="199">
        <v>1</v>
      </c>
      <c r="G206" s="199">
        <v>8</v>
      </c>
      <c r="H206" s="199">
        <v>6</v>
      </c>
      <c r="I206" s="199">
        <v>0</v>
      </c>
      <c r="J206" s="199">
        <v>0</v>
      </c>
      <c r="K206" s="199">
        <v>0</v>
      </c>
      <c r="L206" s="199">
        <v>27</v>
      </c>
      <c r="M206" s="199">
        <v>0</v>
      </c>
    </row>
    <row r="207" spans="1:13" ht="18.600000000000001" customHeight="1">
      <c r="A207" s="186" t="s">
        <v>183</v>
      </c>
      <c r="B207" s="198">
        <v>9</v>
      </c>
      <c r="C207" s="198">
        <v>390</v>
      </c>
      <c r="D207" s="198">
        <v>191</v>
      </c>
      <c r="E207" s="199">
        <v>0</v>
      </c>
      <c r="F207" s="199">
        <v>1</v>
      </c>
      <c r="G207" s="199">
        <v>8</v>
      </c>
      <c r="H207" s="199">
        <v>5</v>
      </c>
      <c r="I207" s="199">
        <v>0</v>
      </c>
      <c r="J207" s="199">
        <v>79</v>
      </c>
      <c r="K207" s="199">
        <v>3</v>
      </c>
      <c r="L207" s="199">
        <v>16</v>
      </c>
      <c r="M207" s="199">
        <v>0</v>
      </c>
    </row>
    <row r="208" spans="1:13" ht="18.600000000000001" customHeight="1">
      <c r="A208" s="186" t="s">
        <v>184</v>
      </c>
      <c r="B208" s="198">
        <v>10</v>
      </c>
      <c r="C208" s="198">
        <v>360</v>
      </c>
      <c r="D208" s="198">
        <v>56</v>
      </c>
      <c r="E208" s="199">
        <v>0</v>
      </c>
      <c r="F208" s="199">
        <v>0</v>
      </c>
      <c r="G208" s="199">
        <v>0</v>
      </c>
      <c r="H208" s="199">
        <v>4</v>
      </c>
      <c r="I208" s="199">
        <v>0</v>
      </c>
      <c r="J208" s="199">
        <v>2</v>
      </c>
      <c r="K208" s="199">
        <v>0</v>
      </c>
      <c r="L208" s="199">
        <v>16</v>
      </c>
      <c r="M208" s="199">
        <v>0</v>
      </c>
    </row>
    <row r="209" spans="1:13" ht="13.15" customHeight="1">
      <c r="M209" s="181" t="s">
        <v>90</v>
      </c>
    </row>
    <row r="210" spans="1:13" s="182" customFormat="1" ht="60" customHeight="1">
      <c r="A210" s="263" t="s">
        <v>282</v>
      </c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</row>
    <row r="211" spans="1:13" s="182" customFormat="1" ht="13.35" customHeight="1">
      <c r="A211" s="182" t="s">
        <v>279</v>
      </c>
      <c r="F211" s="203" t="s">
        <v>199</v>
      </c>
      <c r="L211" s="264" t="s">
        <v>89</v>
      </c>
      <c r="M211" s="264"/>
    </row>
    <row r="212" spans="1:13" s="182" customFormat="1" ht="21.75" customHeight="1">
      <c r="A212" s="265" t="s">
        <v>7</v>
      </c>
      <c r="B212" s="265" t="s">
        <v>1</v>
      </c>
      <c r="C212" s="265"/>
      <c r="D212" s="265" t="s">
        <v>4</v>
      </c>
      <c r="E212" s="265"/>
      <c r="F212" s="265" t="s">
        <v>5</v>
      </c>
      <c r="G212" s="265"/>
      <c r="H212" s="265" t="s">
        <v>6</v>
      </c>
      <c r="I212" s="265"/>
      <c r="J212" s="266" t="s">
        <v>8</v>
      </c>
      <c r="K212" s="266" t="s">
        <v>9</v>
      </c>
      <c r="L212" s="266" t="s">
        <v>11</v>
      </c>
      <c r="M212" s="266" t="s">
        <v>10</v>
      </c>
    </row>
    <row r="213" spans="1:13" s="182" customFormat="1" ht="21.75" customHeight="1">
      <c r="A213" s="265"/>
      <c r="B213" s="183" t="s">
        <v>2</v>
      </c>
      <c r="C213" s="183" t="s">
        <v>3</v>
      </c>
      <c r="D213" s="183" t="s">
        <v>2</v>
      </c>
      <c r="E213" s="183" t="s">
        <v>3</v>
      </c>
      <c r="F213" s="183" t="s">
        <v>2</v>
      </c>
      <c r="G213" s="183" t="s">
        <v>3</v>
      </c>
      <c r="H213" s="183" t="s">
        <v>2</v>
      </c>
      <c r="I213" s="183" t="s">
        <v>3</v>
      </c>
      <c r="J213" s="266"/>
      <c r="K213" s="266"/>
      <c r="L213" s="266"/>
      <c r="M213" s="266"/>
    </row>
    <row r="214" spans="1:13" s="182" customFormat="1" ht="25.5" customHeight="1">
      <c r="A214" s="184" t="s">
        <v>269</v>
      </c>
      <c r="B214" s="193">
        <f t="shared" ref="B214:M214" si="50">SUM(B215,B218,B219,B222,B225,B230,B233,B238,B242,B255,B260,B263,B266,B270,B271,B274,B278,B279,B282,B285,B294,B298,B299,B300,B302,B303,B305,B311,B312,B318,B326,B328)</f>
        <v>214</v>
      </c>
      <c r="C214" s="193">
        <f t="shared" si="50"/>
        <v>21565</v>
      </c>
      <c r="D214" s="193">
        <f t="shared" si="50"/>
        <v>973</v>
      </c>
      <c r="E214" s="193">
        <f t="shared" si="50"/>
        <v>12</v>
      </c>
      <c r="F214" s="193">
        <f t="shared" si="50"/>
        <v>109</v>
      </c>
      <c r="G214" s="193">
        <f t="shared" si="50"/>
        <v>1582</v>
      </c>
      <c r="H214" s="193">
        <f t="shared" si="50"/>
        <v>74</v>
      </c>
      <c r="I214" s="193">
        <f t="shared" si="50"/>
        <v>52</v>
      </c>
      <c r="J214" s="193">
        <f t="shared" si="50"/>
        <v>151</v>
      </c>
      <c r="K214" s="193">
        <f t="shared" si="50"/>
        <v>26</v>
      </c>
      <c r="L214" s="193">
        <f t="shared" si="50"/>
        <v>937</v>
      </c>
      <c r="M214" s="193">
        <f t="shared" si="50"/>
        <v>23</v>
      </c>
    </row>
    <row r="215" spans="1:13" s="182" customFormat="1" ht="17.100000000000001" customHeight="1">
      <c r="A215" s="186" t="s">
        <v>33</v>
      </c>
      <c r="B215" s="193">
        <f t="shared" ref="B215:M215" si="51">SUM(B216:B217)</f>
        <v>7</v>
      </c>
      <c r="C215" s="193">
        <f t="shared" si="51"/>
        <v>1356</v>
      </c>
      <c r="D215" s="193">
        <f t="shared" si="51"/>
        <v>44</v>
      </c>
      <c r="E215" s="193">
        <f t="shared" si="51"/>
        <v>0</v>
      </c>
      <c r="F215" s="193">
        <f t="shared" si="51"/>
        <v>6</v>
      </c>
      <c r="G215" s="193">
        <f t="shared" si="51"/>
        <v>92</v>
      </c>
      <c r="H215" s="193">
        <f t="shared" si="51"/>
        <v>1</v>
      </c>
      <c r="I215" s="193">
        <f t="shared" si="51"/>
        <v>0</v>
      </c>
      <c r="J215" s="193">
        <f t="shared" si="51"/>
        <v>2</v>
      </c>
      <c r="K215" s="193">
        <f t="shared" si="51"/>
        <v>1</v>
      </c>
      <c r="L215" s="193">
        <f t="shared" si="51"/>
        <v>54</v>
      </c>
      <c r="M215" s="193">
        <f t="shared" si="51"/>
        <v>1</v>
      </c>
    </row>
    <row r="216" spans="1:13" s="182" customFormat="1" ht="17.100000000000001" customHeight="1">
      <c r="A216" s="187" t="s">
        <v>34</v>
      </c>
      <c r="B216" s="194">
        <v>5</v>
      </c>
      <c r="C216" s="194">
        <v>1276</v>
      </c>
      <c r="D216" s="194">
        <v>27</v>
      </c>
      <c r="E216" s="194">
        <v>0</v>
      </c>
      <c r="F216" s="194">
        <v>5</v>
      </c>
      <c r="G216" s="194">
        <v>78</v>
      </c>
      <c r="H216" s="194">
        <v>1</v>
      </c>
      <c r="I216" s="194">
        <v>0</v>
      </c>
      <c r="J216" s="194">
        <v>2</v>
      </c>
      <c r="K216" s="194">
        <v>0</v>
      </c>
      <c r="L216" s="194">
        <v>36</v>
      </c>
      <c r="M216" s="194">
        <v>1</v>
      </c>
    </row>
    <row r="217" spans="1:13" s="182" customFormat="1" ht="17.100000000000001" customHeight="1">
      <c r="A217" s="187" t="s">
        <v>145</v>
      </c>
      <c r="B217" s="194">
        <v>2</v>
      </c>
      <c r="C217" s="195">
        <v>80</v>
      </c>
      <c r="D217" s="194">
        <v>17</v>
      </c>
      <c r="E217" s="194">
        <v>0</v>
      </c>
      <c r="F217" s="194">
        <v>1</v>
      </c>
      <c r="G217" s="194">
        <v>14</v>
      </c>
      <c r="H217" s="194">
        <v>0</v>
      </c>
      <c r="I217" s="194">
        <v>0</v>
      </c>
      <c r="J217" s="194">
        <v>0</v>
      </c>
      <c r="K217" s="194">
        <v>1</v>
      </c>
      <c r="L217" s="194">
        <v>18</v>
      </c>
      <c r="M217" s="194">
        <v>0</v>
      </c>
    </row>
    <row r="218" spans="1:13" s="182" customFormat="1" ht="17.100000000000001" customHeight="1">
      <c r="A218" s="186" t="s">
        <v>212</v>
      </c>
      <c r="B218" s="198">
        <v>4</v>
      </c>
      <c r="C218" s="198">
        <v>543</v>
      </c>
      <c r="D218" s="198">
        <v>8</v>
      </c>
      <c r="E218" s="199">
        <v>0</v>
      </c>
      <c r="F218" s="199">
        <v>2</v>
      </c>
      <c r="G218" s="199">
        <v>32</v>
      </c>
      <c r="H218" s="199">
        <v>3</v>
      </c>
      <c r="I218" s="199">
        <v>0</v>
      </c>
      <c r="J218" s="199">
        <v>0</v>
      </c>
      <c r="K218" s="199">
        <v>0</v>
      </c>
      <c r="L218" s="199">
        <v>19</v>
      </c>
      <c r="M218" s="199">
        <v>0</v>
      </c>
    </row>
    <row r="219" spans="1:13" s="182" customFormat="1" ht="17.100000000000001" customHeight="1">
      <c r="A219" s="186" t="s">
        <v>52</v>
      </c>
      <c r="B219" s="193">
        <f>SUM(B220:B221)</f>
        <v>7</v>
      </c>
      <c r="C219" s="193">
        <f t="shared" ref="C219:M219" si="52">SUM(C220:C221)</f>
        <v>886</v>
      </c>
      <c r="D219" s="193">
        <f t="shared" si="52"/>
        <v>135</v>
      </c>
      <c r="E219" s="193">
        <f t="shared" si="52"/>
        <v>0</v>
      </c>
      <c r="F219" s="193">
        <f t="shared" si="52"/>
        <v>2</v>
      </c>
      <c r="G219" s="193">
        <f t="shared" si="52"/>
        <v>36</v>
      </c>
      <c r="H219" s="193">
        <f t="shared" si="52"/>
        <v>2</v>
      </c>
      <c r="I219" s="193">
        <f t="shared" si="52"/>
        <v>0</v>
      </c>
      <c r="J219" s="193">
        <f t="shared" si="52"/>
        <v>14</v>
      </c>
      <c r="K219" s="193">
        <f t="shared" si="52"/>
        <v>0</v>
      </c>
      <c r="L219" s="193">
        <f t="shared" si="52"/>
        <v>45</v>
      </c>
      <c r="M219" s="193">
        <f t="shared" si="52"/>
        <v>0</v>
      </c>
    </row>
    <row r="220" spans="1:13" s="182" customFormat="1" ht="17.100000000000001" customHeight="1">
      <c r="A220" s="187" t="s">
        <v>53</v>
      </c>
      <c r="B220" s="194">
        <v>5</v>
      </c>
      <c r="C220" s="194">
        <v>485</v>
      </c>
      <c r="D220" s="194">
        <v>131</v>
      </c>
      <c r="E220" s="194">
        <v>0</v>
      </c>
      <c r="F220" s="194">
        <v>1</v>
      </c>
      <c r="G220" s="194">
        <v>18</v>
      </c>
      <c r="H220" s="194">
        <v>2</v>
      </c>
      <c r="I220" s="194">
        <v>0</v>
      </c>
      <c r="J220" s="194">
        <v>14</v>
      </c>
      <c r="K220" s="194">
        <v>0</v>
      </c>
      <c r="L220" s="194">
        <v>36</v>
      </c>
      <c r="M220" s="194">
        <v>0</v>
      </c>
    </row>
    <row r="221" spans="1:13" s="182" customFormat="1" ht="17.100000000000001" customHeight="1">
      <c r="A221" s="187" t="s">
        <v>214</v>
      </c>
      <c r="B221" s="194">
        <v>2</v>
      </c>
      <c r="C221" s="194">
        <v>401</v>
      </c>
      <c r="D221" s="194">
        <v>4</v>
      </c>
      <c r="E221" s="194">
        <v>0</v>
      </c>
      <c r="F221" s="194">
        <v>1</v>
      </c>
      <c r="G221" s="194">
        <v>18</v>
      </c>
      <c r="H221" s="194">
        <v>0</v>
      </c>
      <c r="I221" s="194">
        <v>0</v>
      </c>
      <c r="J221" s="194">
        <v>0</v>
      </c>
      <c r="K221" s="194">
        <v>0</v>
      </c>
      <c r="L221" s="194">
        <v>9</v>
      </c>
      <c r="M221" s="194">
        <v>0</v>
      </c>
    </row>
    <row r="222" spans="1:13" s="182" customFormat="1" ht="17.100000000000001" customHeight="1">
      <c r="A222" s="186" t="s">
        <v>43</v>
      </c>
      <c r="B222" s="193">
        <f t="shared" ref="B222:M222" si="53">SUM(B223:B224)</f>
        <v>2</v>
      </c>
      <c r="C222" s="193">
        <f t="shared" si="53"/>
        <v>174</v>
      </c>
      <c r="D222" s="193">
        <f t="shared" si="53"/>
        <v>10</v>
      </c>
      <c r="E222" s="193">
        <f t="shared" si="53"/>
        <v>0</v>
      </c>
      <c r="F222" s="193">
        <f t="shared" si="53"/>
        <v>2</v>
      </c>
      <c r="G222" s="193">
        <f t="shared" si="53"/>
        <v>16</v>
      </c>
      <c r="H222" s="193">
        <f t="shared" si="53"/>
        <v>1</v>
      </c>
      <c r="I222" s="193">
        <f t="shared" si="53"/>
        <v>0</v>
      </c>
      <c r="J222" s="193">
        <f t="shared" si="53"/>
        <v>1</v>
      </c>
      <c r="K222" s="193">
        <f t="shared" si="53"/>
        <v>0</v>
      </c>
      <c r="L222" s="193">
        <f t="shared" si="53"/>
        <v>28</v>
      </c>
      <c r="M222" s="193">
        <f t="shared" si="53"/>
        <v>2</v>
      </c>
    </row>
    <row r="223" spans="1:13" s="182" customFormat="1" ht="17.100000000000001" customHeight="1">
      <c r="A223" s="187" t="s">
        <v>45</v>
      </c>
      <c r="B223" s="194">
        <v>1</v>
      </c>
      <c r="C223" s="194">
        <v>40</v>
      </c>
      <c r="D223" s="194">
        <v>5</v>
      </c>
      <c r="E223" s="194">
        <v>0</v>
      </c>
      <c r="F223" s="194">
        <v>0</v>
      </c>
      <c r="G223" s="194">
        <v>0</v>
      </c>
      <c r="H223" s="194">
        <v>0</v>
      </c>
      <c r="I223" s="194">
        <v>0</v>
      </c>
      <c r="J223" s="194">
        <v>0</v>
      </c>
      <c r="K223" s="194">
        <v>0</v>
      </c>
      <c r="L223" s="194">
        <v>12</v>
      </c>
      <c r="M223" s="194">
        <v>1</v>
      </c>
    </row>
    <row r="224" spans="1:13" s="182" customFormat="1" ht="17.100000000000001" customHeight="1">
      <c r="A224" s="187" t="s">
        <v>44</v>
      </c>
      <c r="B224" s="194">
        <v>1</v>
      </c>
      <c r="C224" s="194">
        <v>134</v>
      </c>
      <c r="D224" s="194">
        <v>5</v>
      </c>
      <c r="E224" s="194">
        <v>0</v>
      </c>
      <c r="F224" s="194">
        <v>2</v>
      </c>
      <c r="G224" s="194">
        <v>16</v>
      </c>
      <c r="H224" s="194">
        <v>1</v>
      </c>
      <c r="I224" s="194">
        <v>0</v>
      </c>
      <c r="J224" s="194">
        <v>1</v>
      </c>
      <c r="K224" s="194">
        <v>0</v>
      </c>
      <c r="L224" s="194">
        <v>16</v>
      </c>
      <c r="M224" s="194">
        <v>1</v>
      </c>
    </row>
    <row r="225" spans="1:13" s="182" customFormat="1" ht="17.100000000000001" customHeight="1">
      <c r="A225" s="186" t="s">
        <v>79</v>
      </c>
      <c r="B225" s="193">
        <f>SUM(B226:B229)</f>
        <v>4</v>
      </c>
      <c r="C225" s="193">
        <f t="shared" ref="C225:M225" si="54">SUM(C226:C229)</f>
        <v>313</v>
      </c>
      <c r="D225" s="193">
        <f t="shared" si="54"/>
        <v>8</v>
      </c>
      <c r="E225" s="193">
        <f t="shared" si="54"/>
        <v>0</v>
      </c>
      <c r="F225" s="193">
        <f t="shared" si="54"/>
        <v>4</v>
      </c>
      <c r="G225" s="193">
        <f t="shared" si="54"/>
        <v>40</v>
      </c>
      <c r="H225" s="193">
        <f t="shared" si="54"/>
        <v>1</v>
      </c>
      <c r="I225" s="193">
        <f t="shared" si="54"/>
        <v>0</v>
      </c>
      <c r="J225" s="193">
        <f t="shared" si="54"/>
        <v>0</v>
      </c>
      <c r="K225" s="193">
        <f t="shared" si="54"/>
        <v>0</v>
      </c>
      <c r="L225" s="193">
        <f t="shared" si="54"/>
        <v>18</v>
      </c>
      <c r="M225" s="193">
        <f t="shared" si="54"/>
        <v>3</v>
      </c>
    </row>
    <row r="226" spans="1:13" s="182" customFormat="1" ht="17.100000000000001" customHeight="1">
      <c r="A226" s="210" t="s">
        <v>215</v>
      </c>
      <c r="B226" s="206">
        <v>2</v>
      </c>
      <c r="C226" s="206">
        <v>263</v>
      </c>
      <c r="D226" s="206">
        <v>2</v>
      </c>
      <c r="E226" s="206">
        <v>0</v>
      </c>
      <c r="F226" s="206">
        <v>2</v>
      </c>
      <c r="G226" s="206">
        <v>20</v>
      </c>
      <c r="H226" s="206">
        <v>1</v>
      </c>
      <c r="I226" s="206">
        <v>0</v>
      </c>
      <c r="J226" s="206">
        <v>0</v>
      </c>
      <c r="K226" s="206">
        <v>0</v>
      </c>
      <c r="L226" s="206">
        <v>6</v>
      </c>
      <c r="M226" s="206">
        <v>2</v>
      </c>
    </row>
    <row r="227" spans="1:13" s="182" customFormat="1" ht="17.100000000000001" customHeight="1">
      <c r="A227" s="210" t="s">
        <v>216</v>
      </c>
      <c r="B227" s="206">
        <v>0</v>
      </c>
      <c r="C227" s="206">
        <v>0</v>
      </c>
      <c r="D227" s="206">
        <v>2</v>
      </c>
      <c r="E227" s="206">
        <v>0</v>
      </c>
      <c r="F227" s="206">
        <v>2</v>
      </c>
      <c r="G227" s="206">
        <v>20</v>
      </c>
      <c r="H227" s="206">
        <v>0</v>
      </c>
      <c r="I227" s="206">
        <v>0</v>
      </c>
      <c r="J227" s="206">
        <v>0</v>
      </c>
      <c r="K227" s="206">
        <v>0</v>
      </c>
      <c r="L227" s="206">
        <v>6</v>
      </c>
      <c r="M227" s="206">
        <v>1</v>
      </c>
    </row>
    <row r="228" spans="1:13" s="182" customFormat="1" ht="17.100000000000001" customHeight="1">
      <c r="A228" s="210" t="s">
        <v>130</v>
      </c>
      <c r="B228" s="206">
        <v>1</v>
      </c>
      <c r="C228" s="206">
        <v>25</v>
      </c>
      <c r="D228" s="206">
        <v>2</v>
      </c>
      <c r="E228" s="206">
        <v>0</v>
      </c>
      <c r="F228" s="206">
        <v>0</v>
      </c>
      <c r="G228" s="206">
        <v>0</v>
      </c>
      <c r="H228" s="206">
        <v>0</v>
      </c>
      <c r="I228" s="206">
        <v>0</v>
      </c>
      <c r="J228" s="206">
        <v>0</v>
      </c>
      <c r="K228" s="206">
        <v>0</v>
      </c>
      <c r="L228" s="206">
        <v>5</v>
      </c>
      <c r="M228" s="206">
        <v>0</v>
      </c>
    </row>
    <row r="229" spans="1:13" s="182" customFormat="1" ht="17.100000000000001" customHeight="1">
      <c r="A229" s="210" t="s">
        <v>217</v>
      </c>
      <c r="B229" s="206">
        <v>1</v>
      </c>
      <c r="C229" s="206">
        <v>25</v>
      </c>
      <c r="D229" s="206">
        <v>2</v>
      </c>
      <c r="E229" s="206">
        <v>0</v>
      </c>
      <c r="F229" s="206">
        <v>0</v>
      </c>
      <c r="G229" s="206">
        <v>0</v>
      </c>
      <c r="H229" s="206">
        <v>0</v>
      </c>
      <c r="I229" s="206">
        <v>0</v>
      </c>
      <c r="J229" s="206">
        <v>0</v>
      </c>
      <c r="K229" s="206">
        <v>0</v>
      </c>
      <c r="L229" s="206">
        <v>1</v>
      </c>
      <c r="M229" s="206">
        <v>0</v>
      </c>
    </row>
    <row r="230" spans="1:13" s="182" customFormat="1" ht="17.100000000000001" customHeight="1">
      <c r="A230" s="186" t="s">
        <v>16</v>
      </c>
      <c r="B230" s="193">
        <f t="shared" ref="B230:M230" si="55">SUM(B231:B232)</f>
        <v>5</v>
      </c>
      <c r="C230" s="193">
        <f t="shared" si="55"/>
        <v>640</v>
      </c>
      <c r="D230" s="193">
        <f t="shared" si="55"/>
        <v>7</v>
      </c>
      <c r="E230" s="193">
        <f t="shared" si="55"/>
        <v>0</v>
      </c>
      <c r="F230" s="193">
        <f t="shared" si="55"/>
        <v>3</v>
      </c>
      <c r="G230" s="193">
        <f t="shared" si="55"/>
        <v>42</v>
      </c>
      <c r="H230" s="193">
        <f t="shared" si="55"/>
        <v>0</v>
      </c>
      <c r="I230" s="193">
        <f t="shared" si="55"/>
        <v>0</v>
      </c>
      <c r="J230" s="193">
        <f t="shared" si="55"/>
        <v>1</v>
      </c>
      <c r="K230" s="193">
        <f t="shared" si="55"/>
        <v>1</v>
      </c>
      <c r="L230" s="193">
        <f t="shared" si="55"/>
        <v>44</v>
      </c>
      <c r="M230" s="193">
        <f t="shared" si="55"/>
        <v>1</v>
      </c>
    </row>
    <row r="231" spans="1:13" s="182" customFormat="1" ht="17.100000000000001" customHeight="1">
      <c r="A231" s="187" t="s">
        <v>17</v>
      </c>
      <c r="B231" s="194">
        <v>3</v>
      </c>
      <c r="C231" s="194">
        <v>520</v>
      </c>
      <c r="D231" s="194">
        <v>6</v>
      </c>
      <c r="E231" s="194">
        <v>0</v>
      </c>
      <c r="F231" s="194">
        <v>1</v>
      </c>
      <c r="G231" s="194">
        <v>14</v>
      </c>
      <c r="H231" s="194">
        <v>0</v>
      </c>
      <c r="I231" s="194">
        <v>0</v>
      </c>
      <c r="J231" s="194">
        <v>1</v>
      </c>
      <c r="K231" s="194">
        <v>1</v>
      </c>
      <c r="L231" s="194">
        <v>35</v>
      </c>
      <c r="M231" s="194">
        <v>1</v>
      </c>
    </row>
    <row r="232" spans="1:13" s="182" customFormat="1" ht="17.100000000000001" customHeight="1">
      <c r="A232" s="187" t="s">
        <v>18</v>
      </c>
      <c r="B232" s="194">
        <v>2</v>
      </c>
      <c r="C232" s="194">
        <v>120</v>
      </c>
      <c r="D232" s="194">
        <v>1</v>
      </c>
      <c r="E232" s="194">
        <v>0</v>
      </c>
      <c r="F232" s="194">
        <v>2</v>
      </c>
      <c r="G232" s="194">
        <v>28</v>
      </c>
      <c r="H232" s="194">
        <v>0</v>
      </c>
      <c r="I232" s="194">
        <v>0</v>
      </c>
      <c r="J232" s="194">
        <v>0</v>
      </c>
      <c r="K232" s="194">
        <v>0</v>
      </c>
      <c r="L232" s="194">
        <v>9</v>
      </c>
      <c r="M232" s="194">
        <v>0</v>
      </c>
    </row>
    <row r="233" spans="1:13" s="182" customFormat="1" ht="17.100000000000001" customHeight="1">
      <c r="A233" s="186" t="s">
        <v>60</v>
      </c>
      <c r="B233" s="193">
        <f>SUM(B234:B237)</f>
        <v>4</v>
      </c>
      <c r="C233" s="193">
        <f t="shared" ref="C233:M233" si="56">SUM(C234:C237)</f>
        <v>320</v>
      </c>
      <c r="D233" s="193">
        <f t="shared" si="56"/>
        <v>29</v>
      </c>
      <c r="E233" s="193">
        <f t="shared" si="56"/>
        <v>0</v>
      </c>
      <c r="F233" s="193">
        <f t="shared" si="56"/>
        <v>6</v>
      </c>
      <c r="G233" s="193">
        <f t="shared" si="56"/>
        <v>80</v>
      </c>
      <c r="H233" s="193">
        <f t="shared" si="56"/>
        <v>2</v>
      </c>
      <c r="I233" s="193">
        <f t="shared" si="56"/>
        <v>0</v>
      </c>
      <c r="J233" s="193">
        <f t="shared" si="56"/>
        <v>2</v>
      </c>
      <c r="K233" s="193">
        <f t="shared" si="56"/>
        <v>0</v>
      </c>
      <c r="L233" s="193">
        <f t="shared" si="56"/>
        <v>19</v>
      </c>
      <c r="M233" s="193">
        <f t="shared" si="56"/>
        <v>3</v>
      </c>
    </row>
    <row r="234" spans="1:13" s="182" customFormat="1" ht="17.100000000000001" customHeight="1">
      <c r="A234" s="187" t="s">
        <v>61</v>
      </c>
      <c r="B234" s="194">
        <v>3</v>
      </c>
      <c r="C234" s="194">
        <v>280</v>
      </c>
      <c r="D234" s="194">
        <v>13</v>
      </c>
      <c r="E234" s="194">
        <v>0</v>
      </c>
      <c r="F234" s="195">
        <v>3</v>
      </c>
      <c r="G234" s="195">
        <v>48</v>
      </c>
      <c r="H234" s="194">
        <v>2</v>
      </c>
      <c r="I234" s="194">
        <v>0</v>
      </c>
      <c r="J234" s="194">
        <v>2</v>
      </c>
      <c r="K234" s="194">
        <v>0</v>
      </c>
      <c r="L234" s="194">
        <v>9</v>
      </c>
      <c r="M234" s="194">
        <v>1</v>
      </c>
    </row>
    <row r="235" spans="1:13" s="182" customFormat="1" ht="17.100000000000001" customHeight="1">
      <c r="A235" s="187" t="s">
        <v>85</v>
      </c>
      <c r="B235" s="194">
        <v>0</v>
      </c>
      <c r="C235" s="194">
        <v>0</v>
      </c>
      <c r="D235" s="194">
        <v>0</v>
      </c>
      <c r="E235" s="194">
        <v>0</v>
      </c>
      <c r="F235" s="195">
        <v>0</v>
      </c>
      <c r="G235" s="195">
        <v>0</v>
      </c>
      <c r="H235" s="194">
        <v>0</v>
      </c>
      <c r="I235" s="194">
        <v>0</v>
      </c>
      <c r="J235" s="194">
        <v>0</v>
      </c>
      <c r="K235" s="194">
        <v>0</v>
      </c>
      <c r="L235" s="194">
        <v>0</v>
      </c>
      <c r="M235" s="194">
        <v>1</v>
      </c>
    </row>
    <row r="236" spans="1:13" s="182" customFormat="1" ht="17.100000000000001" customHeight="1">
      <c r="A236" s="187" t="s">
        <v>62</v>
      </c>
      <c r="B236" s="194">
        <v>1</v>
      </c>
      <c r="C236" s="194">
        <v>40</v>
      </c>
      <c r="D236" s="194">
        <v>16</v>
      </c>
      <c r="E236" s="194">
        <v>0</v>
      </c>
      <c r="F236" s="194">
        <v>3</v>
      </c>
      <c r="G236" s="194">
        <v>32</v>
      </c>
      <c r="H236" s="194">
        <v>0</v>
      </c>
      <c r="I236" s="194">
        <v>0</v>
      </c>
      <c r="J236" s="194">
        <v>0</v>
      </c>
      <c r="K236" s="194">
        <v>0</v>
      </c>
      <c r="L236" s="194">
        <v>10</v>
      </c>
      <c r="M236" s="194">
        <v>1</v>
      </c>
    </row>
    <row r="237" spans="1:13" s="182" customFormat="1" ht="17.100000000000001" customHeight="1">
      <c r="A237" s="187" t="s">
        <v>218</v>
      </c>
      <c r="B237" s="194">
        <v>0</v>
      </c>
      <c r="C237" s="194">
        <v>0</v>
      </c>
      <c r="D237" s="194">
        <v>0</v>
      </c>
      <c r="E237" s="194">
        <v>0</v>
      </c>
      <c r="F237" s="194">
        <v>0</v>
      </c>
      <c r="G237" s="194">
        <v>0</v>
      </c>
      <c r="H237" s="194">
        <v>0</v>
      </c>
      <c r="I237" s="194">
        <v>0</v>
      </c>
      <c r="J237" s="194">
        <v>0</v>
      </c>
      <c r="K237" s="194">
        <v>0</v>
      </c>
      <c r="L237" s="194">
        <v>0</v>
      </c>
      <c r="M237" s="194">
        <v>0</v>
      </c>
    </row>
    <row r="238" spans="1:13" s="182" customFormat="1" ht="17.100000000000001" customHeight="1">
      <c r="A238" s="186" t="s">
        <v>56</v>
      </c>
      <c r="B238" s="193">
        <f t="shared" ref="B238:M238" si="57">SUM(B239:B241)</f>
        <v>12</v>
      </c>
      <c r="C238" s="193">
        <f t="shared" si="57"/>
        <v>705</v>
      </c>
      <c r="D238" s="193">
        <f t="shared" si="57"/>
        <v>39</v>
      </c>
      <c r="E238" s="193">
        <f t="shared" si="57"/>
        <v>0</v>
      </c>
      <c r="F238" s="193">
        <f t="shared" si="57"/>
        <v>3</v>
      </c>
      <c r="G238" s="193">
        <f t="shared" si="57"/>
        <v>72</v>
      </c>
      <c r="H238" s="193">
        <f t="shared" si="57"/>
        <v>1</v>
      </c>
      <c r="I238" s="193">
        <f t="shared" si="57"/>
        <v>0</v>
      </c>
      <c r="J238" s="193">
        <f t="shared" si="57"/>
        <v>7</v>
      </c>
      <c r="K238" s="193">
        <f t="shared" si="57"/>
        <v>1</v>
      </c>
      <c r="L238" s="193">
        <f t="shared" si="57"/>
        <v>41</v>
      </c>
      <c r="M238" s="193">
        <f t="shared" si="57"/>
        <v>0</v>
      </c>
    </row>
    <row r="239" spans="1:13" s="182" customFormat="1" ht="17.100000000000001" customHeight="1">
      <c r="A239" s="187" t="s">
        <v>57</v>
      </c>
      <c r="B239" s="194">
        <v>8</v>
      </c>
      <c r="C239" s="194">
        <v>545</v>
      </c>
      <c r="D239" s="194">
        <v>26</v>
      </c>
      <c r="E239" s="194">
        <v>0</v>
      </c>
      <c r="F239" s="194">
        <v>1</v>
      </c>
      <c r="G239" s="195">
        <v>24</v>
      </c>
      <c r="H239" s="195">
        <v>1</v>
      </c>
      <c r="I239" s="195">
        <v>0</v>
      </c>
      <c r="J239" s="195">
        <v>3</v>
      </c>
      <c r="K239" s="195">
        <v>1</v>
      </c>
      <c r="L239" s="194">
        <v>27</v>
      </c>
      <c r="M239" s="195">
        <v>0</v>
      </c>
    </row>
    <row r="240" spans="1:13" s="182" customFormat="1" ht="17.100000000000001" customHeight="1">
      <c r="A240" s="187" t="s">
        <v>59</v>
      </c>
      <c r="B240" s="194">
        <v>1</v>
      </c>
      <c r="C240" s="194">
        <v>40</v>
      </c>
      <c r="D240" s="194">
        <v>5</v>
      </c>
      <c r="E240" s="194">
        <v>0</v>
      </c>
      <c r="F240" s="194">
        <v>0</v>
      </c>
      <c r="G240" s="195">
        <v>0</v>
      </c>
      <c r="H240" s="195">
        <v>0</v>
      </c>
      <c r="I240" s="195">
        <v>0</v>
      </c>
      <c r="J240" s="195">
        <v>1</v>
      </c>
      <c r="K240" s="195">
        <v>0</v>
      </c>
      <c r="L240" s="194">
        <v>6</v>
      </c>
      <c r="M240" s="195">
        <v>0</v>
      </c>
    </row>
    <row r="241" spans="1:13" s="182" customFormat="1" ht="17.100000000000001" customHeight="1">
      <c r="A241" s="187" t="s">
        <v>58</v>
      </c>
      <c r="B241" s="194">
        <v>3</v>
      </c>
      <c r="C241" s="194">
        <v>120</v>
      </c>
      <c r="D241" s="194">
        <v>8</v>
      </c>
      <c r="E241" s="194">
        <v>0</v>
      </c>
      <c r="F241" s="194">
        <v>2</v>
      </c>
      <c r="G241" s="195">
        <v>48</v>
      </c>
      <c r="H241" s="195">
        <v>0</v>
      </c>
      <c r="I241" s="195">
        <v>0</v>
      </c>
      <c r="J241" s="195">
        <v>3</v>
      </c>
      <c r="K241" s="195">
        <v>0</v>
      </c>
      <c r="L241" s="194">
        <v>8</v>
      </c>
      <c r="M241" s="195">
        <v>0</v>
      </c>
    </row>
    <row r="242" spans="1:13" s="182" customFormat="1" ht="17.100000000000001" customHeight="1">
      <c r="A242" s="186" t="s">
        <v>211</v>
      </c>
      <c r="B242" s="193">
        <f>SUM(B243:B249)</f>
        <v>7</v>
      </c>
      <c r="C242" s="193">
        <f t="shared" ref="C242:M242" si="58">SUM(C243:C249)</f>
        <v>762</v>
      </c>
      <c r="D242" s="193">
        <f t="shared" si="58"/>
        <v>19</v>
      </c>
      <c r="E242" s="193">
        <f t="shared" si="58"/>
        <v>0</v>
      </c>
      <c r="F242" s="193">
        <f t="shared" si="58"/>
        <v>4</v>
      </c>
      <c r="G242" s="193">
        <f t="shared" si="58"/>
        <v>84</v>
      </c>
      <c r="H242" s="193">
        <f t="shared" si="58"/>
        <v>1</v>
      </c>
      <c r="I242" s="193">
        <f t="shared" si="58"/>
        <v>0</v>
      </c>
      <c r="J242" s="193">
        <f t="shared" si="58"/>
        <v>7</v>
      </c>
      <c r="K242" s="193">
        <f t="shared" si="58"/>
        <v>2</v>
      </c>
      <c r="L242" s="193">
        <f t="shared" si="58"/>
        <v>31</v>
      </c>
      <c r="M242" s="193">
        <f t="shared" si="58"/>
        <v>2</v>
      </c>
    </row>
    <row r="243" spans="1:13" s="182" customFormat="1" ht="17.100000000000001" customHeight="1">
      <c r="A243" s="210" t="s">
        <v>69</v>
      </c>
      <c r="B243" s="206">
        <v>2</v>
      </c>
      <c r="C243" s="206">
        <v>140</v>
      </c>
      <c r="D243" s="206">
        <v>0</v>
      </c>
      <c r="E243" s="206">
        <v>0</v>
      </c>
      <c r="F243" s="206">
        <v>0</v>
      </c>
      <c r="G243" s="206">
        <v>0</v>
      </c>
      <c r="H243" s="206">
        <v>0</v>
      </c>
      <c r="I243" s="206">
        <v>0</v>
      </c>
      <c r="J243" s="206">
        <v>1</v>
      </c>
      <c r="K243" s="206">
        <v>1</v>
      </c>
      <c r="L243" s="206">
        <v>4</v>
      </c>
      <c r="M243" s="206">
        <v>1</v>
      </c>
    </row>
    <row r="244" spans="1:13" s="182" customFormat="1" ht="17.100000000000001" customHeight="1">
      <c r="A244" s="210" t="s">
        <v>219</v>
      </c>
      <c r="B244" s="206">
        <v>1</v>
      </c>
      <c r="C244" s="206">
        <v>56</v>
      </c>
      <c r="D244" s="206">
        <v>0</v>
      </c>
      <c r="E244" s="206">
        <v>0</v>
      </c>
      <c r="F244" s="206">
        <v>0</v>
      </c>
      <c r="G244" s="206">
        <v>0</v>
      </c>
      <c r="H244" s="206">
        <v>0</v>
      </c>
      <c r="I244" s="206">
        <v>0</v>
      </c>
      <c r="J244" s="206">
        <v>0</v>
      </c>
      <c r="K244" s="206">
        <v>1</v>
      </c>
      <c r="L244" s="206">
        <v>4</v>
      </c>
      <c r="M244" s="206">
        <v>0</v>
      </c>
    </row>
    <row r="245" spans="1:13" s="182" customFormat="1" ht="17.100000000000001" customHeight="1">
      <c r="A245" s="210" t="s">
        <v>220</v>
      </c>
      <c r="B245" s="206">
        <v>0</v>
      </c>
      <c r="C245" s="206">
        <v>0</v>
      </c>
      <c r="D245" s="206">
        <v>4</v>
      </c>
      <c r="E245" s="206">
        <v>0</v>
      </c>
      <c r="F245" s="206">
        <v>0</v>
      </c>
      <c r="G245" s="206">
        <v>0</v>
      </c>
      <c r="H245" s="206">
        <v>0</v>
      </c>
      <c r="I245" s="206">
        <v>0</v>
      </c>
      <c r="J245" s="206">
        <v>2</v>
      </c>
      <c r="K245" s="206">
        <v>0</v>
      </c>
      <c r="L245" s="206">
        <v>4</v>
      </c>
      <c r="M245" s="206">
        <v>0</v>
      </c>
    </row>
    <row r="246" spans="1:13" s="182" customFormat="1" ht="17.100000000000001" customHeight="1">
      <c r="A246" s="210" t="s">
        <v>221</v>
      </c>
      <c r="B246" s="206">
        <v>0</v>
      </c>
      <c r="C246" s="206">
        <v>0</v>
      </c>
      <c r="D246" s="206">
        <v>1</v>
      </c>
      <c r="E246" s="206">
        <v>0</v>
      </c>
      <c r="F246" s="206">
        <v>1</v>
      </c>
      <c r="G246" s="206">
        <v>22</v>
      </c>
      <c r="H246" s="206">
        <v>0</v>
      </c>
      <c r="I246" s="206">
        <v>0</v>
      </c>
      <c r="J246" s="206">
        <v>1</v>
      </c>
      <c r="K246" s="206">
        <v>0</v>
      </c>
      <c r="L246" s="206">
        <v>3</v>
      </c>
      <c r="M246" s="206">
        <v>0</v>
      </c>
    </row>
    <row r="247" spans="1:13" s="182" customFormat="1" ht="17.100000000000001" customHeight="1">
      <c r="A247" s="210" t="s">
        <v>222</v>
      </c>
      <c r="B247" s="206">
        <v>1</v>
      </c>
      <c r="C247" s="206">
        <v>35</v>
      </c>
      <c r="D247" s="206">
        <v>2</v>
      </c>
      <c r="E247" s="206">
        <v>0</v>
      </c>
      <c r="F247" s="206">
        <v>0</v>
      </c>
      <c r="G247" s="206">
        <v>0</v>
      </c>
      <c r="H247" s="206">
        <v>0</v>
      </c>
      <c r="I247" s="206">
        <v>0</v>
      </c>
      <c r="J247" s="206">
        <v>0</v>
      </c>
      <c r="K247" s="206">
        <v>0</v>
      </c>
      <c r="L247" s="206">
        <v>6</v>
      </c>
      <c r="M247" s="206">
        <v>1</v>
      </c>
    </row>
    <row r="248" spans="1:13" s="182" customFormat="1" ht="17.100000000000001" customHeight="1">
      <c r="A248" s="210" t="s">
        <v>223</v>
      </c>
      <c r="B248" s="206">
        <v>1</v>
      </c>
      <c r="C248" s="206">
        <v>75</v>
      </c>
      <c r="D248" s="206">
        <v>8</v>
      </c>
      <c r="E248" s="206">
        <v>0</v>
      </c>
      <c r="F248" s="206">
        <v>3</v>
      </c>
      <c r="G248" s="206">
        <v>62</v>
      </c>
      <c r="H248" s="206">
        <v>0</v>
      </c>
      <c r="I248" s="206">
        <v>0</v>
      </c>
      <c r="J248" s="206">
        <v>3</v>
      </c>
      <c r="K248" s="206">
        <v>0</v>
      </c>
      <c r="L248" s="206">
        <v>5</v>
      </c>
      <c r="M248" s="206">
        <v>0</v>
      </c>
    </row>
    <row r="249" spans="1:13" s="182" customFormat="1" ht="17.100000000000001" customHeight="1">
      <c r="A249" s="210" t="s">
        <v>67</v>
      </c>
      <c r="B249" s="206">
        <v>2</v>
      </c>
      <c r="C249" s="206">
        <v>456</v>
      </c>
      <c r="D249" s="206">
        <v>4</v>
      </c>
      <c r="E249" s="206">
        <v>0</v>
      </c>
      <c r="F249" s="206">
        <v>0</v>
      </c>
      <c r="G249" s="206">
        <v>0</v>
      </c>
      <c r="H249" s="206">
        <v>1</v>
      </c>
      <c r="I249" s="206">
        <v>0</v>
      </c>
      <c r="J249" s="206">
        <v>0</v>
      </c>
      <c r="K249" s="206">
        <v>0</v>
      </c>
      <c r="L249" s="206">
        <v>5</v>
      </c>
      <c r="M249" s="206">
        <v>0</v>
      </c>
    </row>
    <row r="250" spans="1:13" s="182" customFormat="1" ht="11.25" customHeight="1">
      <c r="A250" s="190"/>
      <c r="B250" s="191"/>
      <c r="C250" s="191"/>
      <c r="D250" s="191"/>
      <c r="E250" s="191"/>
      <c r="F250" s="191"/>
      <c r="G250" s="191"/>
      <c r="H250" s="191"/>
      <c r="I250" s="191"/>
      <c r="J250" s="191"/>
      <c r="K250" s="191"/>
      <c r="L250" s="191"/>
      <c r="M250" s="192" t="s">
        <v>90</v>
      </c>
    </row>
    <row r="251" spans="1:13" s="182" customFormat="1" ht="60" customHeight="1">
      <c r="A251" s="263" t="s">
        <v>282</v>
      </c>
      <c r="B251" s="263"/>
      <c r="C251" s="263"/>
      <c r="D251" s="263"/>
      <c r="E251" s="263"/>
      <c r="F251" s="263"/>
      <c r="G251" s="263"/>
      <c r="H251" s="263"/>
      <c r="I251" s="263"/>
      <c r="J251" s="263"/>
      <c r="K251" s="263"/>
      <c r="L251" s="263"/>
      <c r="M251" s="263"/>
    </row>
    <row r="252" spans="1:13" s="182" customFormat="1" ht="13.35" customHeight="1">
      <c r="A252" s="182" t="s">
        <v>279</v>
      </c>
      <c r="F252" s="203" t="s">
        <v>199</v>
      </c>
      <c r="L252" s="264" t="s">
        <v>89</v>
      </c>
      <c r="M252" s="264"/>
    </row>
    <row r="253" spans="1:13" s="182" customFormat="1" ht="22.5" customHeight="1">
      <c r="A253" s="265" t="s">
        <v>7</v>
      </c>
      <c r="B253" s="265" t="s">
        <v>1</v>
      </c>
      <c r="C253" s="265"/>
      <c r="D253" s="265" t="s">
        <v>4</v>
      </c>
      <c r="E253" s="265"/>
      <c r="F253" s="265" t="s">
        <v>5</v>
      </c>
      <c r="G253" s="265"/>
      <c r="H253" s="265" t="s">
        <v>6</v>
      </c>
      <c r="I253" s="265"/>
      <c r="J253" s="266" t="s">
        <v>8</v>
      </c>
      <c r="K253" s="266" t="s">
        <v>9</v>
      </c>
      <c r="L253" s="266" t="s">
        <v>11</v>
      </c>
      <c r="M253" s="266" t="s">
        <v>10</v>
      </c>
    </row>
    <row r="254" spans="1:13" s="182" customFormat="1" ht="22.5" customHeight="1">
      <c r="A254" s="265"/>
      <c r="B254" s="183" t="s">
        <v>2</v>
      </c>
      <c r="C254" s="183" t="s">
        <v>3</v>
      </c>
      <c r="D254" s="183" t="s">
        <v>2</v>
      </c>
      <c r="E254" s="183" t="s">
        <v>3</v>
      </c>
      <c r="F254" s="183" t="s">
        <v>2</v>
      </c>
      <c r="G254" s="183" t="s">
        <v>3</v>
      </c>
      <c r="H254" s="183" t="s">
        <v>2</v>
      </c>
      <c r="I254" s="183" t="s">
        <v>3</v>
      </c>
      <c r="J254" s="266"/>
      <c r="K254" s="266"/>
      <c r="L254" s="266"/>
      <c r="M254" s="266"/>
    </row>
    <row r="255" spans="1:13" s="182" customFormat="1" ht="17.100000000000001" customHeight="1">
      <c r="A255" s="186" t="s">
        <v>210</v>
      </c>
      <c r="B255" s="193">
        <f>SUM(B256:B259)</f>
        <v>5</v>
      </c>
      <c r="C255" s="193">
        <f t="shared" ref="C255:M255" si="59">SUM(C256:C259)</f>
        <v>488</v>
      </c>
      <c r="D255" s="193">
        <f t="shared" si="59"/>
        <v>11</v>
      </c>
      <c r="E255" s="193">
        <f t="shared" si="59"/>
        <v>0</v>
      </c>
      <c r="F255" s="193">
        <f t="shared" si="59"/>
        <v>4</v>
      </c>
      <c r="G255" s="193">
        <f t="shared" si="59"/>
        <v>80</v>
      </c>
      <c r="H255" s="193">
        <f t="shared" si="59"/>
        <v>1</v>
      </c>
      <c r="I255" s="193">
        <f t="shared" si="59"/>
        <v>0</v>
      </c>
      <c r="J255" s="193">
        <f t="shared" si="59"/>
        <v>1</v>
      </c>
      <c r="K255" s="193">
        <f t="shared" si="59"/>
        <v>3</v>
      </c>
      <c r="L255" s="193">
        <f t="shared" si="59"/>
        <v>30</v>
      </c>
      <c r="M255" s="193">
        <f t="shared" si="59"/>
        <v>3</v>
      </c>
    </row>
    <row r="256" spans="1:13" s="182" customFormat="1" ht="17.100000000000001" customHeight="1">
      <c r="A256" s="210" t="s">
        <v>64</v>
      </c>
      <c r="B256" s="206">
        <v>2</v>
      </c>
      <c r="C256" s="206">
        <v>308</v>
      </c>
      <c r="D256" s="206">
        <v>5</v>
      </c>
      <c r="E256" s="206">
        <v>0</v>
      </c>
      <c r="F256" s="206">
        <v>4</v>
      </c>
      <c r="G256" s="206">
        <v>80</v>
      </c>
      <c r="H256" s="206">
        <v>1</v>
      </c>
      <c r="I256" s="206">
        <v>0</v>
      </c>
      <c r="J256" s="206">
        <v>0</v>
      </c>
      <c r="K256" s="206">
        <v>1</v>
      </c>
      <c r="L256" s="206">
        <v>11</v>
      </c>
      <c r="M256" s="206">
        <v>1</v>
      </c>
    </row>
    <row r="257" spans="1:13" s="182" customFormat="1" ht="17.100000000000001" customHeight="1">
      <c r="A257" s="210" t="s">
        <v>224</v>
      </c>
      <c r="B257" s="206">
        <v>1</v>
      </c>
      <c r="C257" s="206">
        <v>60</v>
      </c>
      <c r="D257" s="206">
        <v>1</v>
      </c>
      <c r="E257" s="206">
        <v>0</v>
      </c>
      <c r="F257" s="206">
        <v>0</v>
      </c>
      <c r="G257" s="206">
        <v>0</v>
      </c>
      <c r="H257" s="206">
        <v>0</v>
      </c>
      <c r="I257" s="206">
        <v>0</v>
      </c>
      <c r="J257" s="206">
        <v>0</v>
      </c>
      <c r="K257" s="206">
        <v>0</v>
      </c>
      <c r="L257" s="206">
        <v>4</v>
      </c>
      <c r="M257" s="206">
        <v>1</v>
      </c>
    </row>
    <row r="258" spans="1:13" ht="17.100000000000001" customHeight="1">
      <c r="A258" s="210" t="s">
        <v>225</v>
      </c>
      <c r="B258" s="206">
        <v>1</v>
      </c>
      <c r="C258" s="206">
        <v>60</v>
      </c>
      <c r="D258" s="206">
        <v>1</v>
      </c>
      <c r="E258" s="206">
        <v>0</v>
      </c>
      <c r="F258" s="206">
        <v>0</v>
      </c>
      <c r="G258" s="206">
        <v>0</v>
      </c>
      <c r="H258" s="206">
        <v>0</v>
      </c>
      <c r="I258" s="206">
        <v>0</v>
      </c>
      <c r="J258" s="206">
        <v>0</v>
      </c>
      <c r="K258" s="206">
        <v>0</v>
      </c>
      <c r="L258" s="206">
        <v>4</v>
      </c>
      <c r="M258" s="206">
        <v>0</v>
      </c>
    </row>
    <row r="259" spans="1:13" ht="17.100000000000001" customHeight="1">
      <c r="A259" s="210" t="s">
        <v>65</v>
      </c>
      <c r="B259" s="206">
        <v>1</v>
      </c>
      <c r="C259" s="206">
        <v>60</v>
      </c>
      <c r="D259" s="206">
        <v>4</v>
      </c>
      <c r="E259" s="206">
        <v>0</v>
      </c>
      <c r="F259" s="206">
        <v>0</v>
      </c>
      <c r="G259" s="206">
        <v>0</v>
      </c>
      <c r="H259" s="206">
        <v>0</v>
      </c>
      <c r="I259" s="206">
        <v>0</v>
      </c>
      <c r="J259" s="206">
        <v>1</v>
      </c>
      <c r="K259" s="206">
        <v>2</v>
      </c>
      <c r="L259" s="206">
        <v>11</v>
      </c>
      <c r="M259" s="206">
        <v>1</v>
      </c>
    </row>
    <row r="260" spans="1:13" s="182" customFormat="1" ht="17.100000000000001" customHeight="1">
      <c r="A260" s="186" t="s">
        <v>27</v>
      </c>
      <c r="B260" s="193">
        <f>SUM(B261:B262)</f>
        <v>6</v>
      </c>
      <c r="C260" s="193">
        <f t="shared" ref="C260:M260" si="60">SUM(C261:C262)</f>
        <v>248</v>
      </c>
      <c r="D260" s="193">
        <f t="shared" si="60"/>
        <v>2</v>
      </c>
      <c r="E260" s="193">
        <f t="shared" si="60"/>
        <v>0</v>
      </c>
      <c r="F260" s="193">
        <f t="shared" si="60"/>
        <v>1</v>
      </c>
      <c r="G260" s="193">
        <f t="shared" si="60"/>
        <v>10</v>
      </c>
      <c r="H260" s="193">
        <f t="shared" si="60"/>
        <v>4</v>
      </c>
      <c r="I260" s="193">
        <f t="shared" si="60"/>
        <v>0</v>
      </c>
      <c r="J260" s="193">
        <f t="shared" si="60"/>
        <v>2</v>
      </c>
      <c r="K260" s="193">
        <f t="shared" si="60"/>
        <v>2</v>
      </c>
      <c r="L260" s="193">
        <f t="shared" si="60"/>
        <v>14</v>
      </c>
      <c r="M260" s="193">
        <f t="shared" si="60"/>
        <v>0</v>
      </c>
    </row>
    <row r="261" spans="1:13" s="182" customFormat="1" ht="17.100000000000001" customHeight="1">
      <c r="A261" s="187" t="s">
        <v>28</v>
      </c>
      <c r="B261" s="194">
        <v>5</v>
      </c>
      <c r="C261" s="194">
        <v>208</v>
      </c>
      <c r="D261" s="194">
        <v>1</v>
      </c>
      <c r="E261" s="194">
        <v>0</v>
      </c>
      <c r="F261" s="194">
        <v>1</v>
      </c>
      <c r="G261" s="194">
        <v>10</v>
      </c>
      <c r="H261" s="194">
        <v>4</v>
      </c>
      <c r="I261" s="194">
        <v>0</v>
      </c>
      <c r="J261" s="194">
        <v>1</v>
      </c>
      <c r="K261" s="194">
        <v>0</v>
      </c>
      <c r="L261" s="194">
        <v>9</v>
      </c>
      <c r="M261" s="194">
        <v>0</v>
      </c>
    </row>
    <row r="262" spans="1:13" s="182" customFormat="1" ht="17.100000000000001" customHeight="1">
      <c r="A262" s="187" t="s">
        <v>196</v>
      </c>
      <c r="B262" s="195">
        <v>1</v>
      </c>
      <c r="C262" s="195">
        <v>40</v>
      </c>
      <c r="D262" s="194">
        <v>1</v>
      </c>
      <c r="E262" s="194">
        <v>0</v>
      </c>
      <c r="F262" s="194">
        <v>0</v>
      </c>
      <c r="G262" s="194">
        <v>0</v>
      </c>
      <c r="H262" s="194">
        <v>0</v>
      </c>
      <c r="I262" s="194">
        <v>0</v>
      </c>
      <c r="J262" s="194">
        <v>1</v>
      </c>
      <c r="K262" s="194">
        <v>2</v>
      </c>
      <c r="L262" s="194">
        <v>5</v>
      </c>
      <c r="M262" s="194">
        <v>0</v>
      </c>
    </row>
    <row r="263" spans="1:13" s="182" customFormat="1" ht="17.100000000000001" customHeight="1">
      <c r="A263" s="186" t="s">
        <v>35</v>
      </c>
      <c r="B263" s="193">
        <f>SUM(B264:B265)</f>
        <v>10</v>
      </c>
      <c r="C263" s="193">
        <f t="shared" ref="C263:M263" si="61">SUM(C264:C265)</f>
        <v>806</v>
      </c>
      <c r="D263" s="193">
        <f t="shared" si="61"/>
        <v>11</v>
      </c>
      <c r="E263" s="193">
        <f t="shared" si="61"/>
        <v>0</v>
      </c>
      <c r="F263" s="193">
        <f t="shared" si="61"/>
        <v>5</v>
      </c>
      <c r="G263" s="193">
        <f t="shared" si="61"/>
        <v>54</v>
      </c>
      <c r="H263" s="193">
        <f t="shared" si="61"/>
        <v>1</v>
      </c>
      <c r="I263" s="193">
        <f t="shared" si="61"/>
        <v>0</v>
      </c>
      <c r="J263" s="193">
        <f t="shared" si="61"/>
        <v>2</v>
      </c>
      <c r="K263" s="193">
        <f t="shared" si="61"/>
        <v>6</v>
      </c>
      <c r="L263" s="193">
        <f t="shared" si="61"/>
        <v>40</v>
      </c>
      <c r="M263" s="193">
        <f t="shared" si="61"/>
        <v>1</v>
      </c>
    </row>
    <row r="264" spans="1:13" s="182" customFormat="1" ht="17.100000000000001" customHeight="1">
      <c r="A264" s="187" t="s">
        <v>37</v>
      </c>
      <c r="B264" s="194">
        <v>1</v>
      </c>
      <c r="C264" s="194">
        <v>40</v>
      </c>
      <c r="D264" s="194">
        <v>1</v>
      </c>
      <c r="E264" s="194">
        <v>0</v>
      </c>
      <c r="F264" s="194">
        <v>2</v>
      </c>
      <c r="G264" s="194">
        <v>16</v>
      </c>
      <c r="H264" s="194">
        <v>1</v>
      </c>
      <c r="I264" s="194">
        <v>0</v>
      </c>
      <c r="J264" s="194">
        <v>0</v>
      </c>
      <c r="K264" s="194">
        <v>1</v>
      </c>
      <c r="L264" s="194">
        <v>0</v>
      </c>
      <c r="M264" s="194">
        <v>0</v>
      </c>
    </row>
    <row r="265" spans="1:13" s="182" customFormat="1" ht="17.100000000000001" customHeight="1">
      <c r="A265" s="187" t="s">
        <v>36</v>
      </c>
      <c r="B265" s="194">
        <v>9</v>
      </c>
      <c r="C265" s="194">
        <v>766</v>
      </c>
      <c r="D265" s="194">
        <v>10</v>
      </c>
      <c r="E265" s="194">
        <v>0</v>
      </c>
      <c r="F265" s="194">
        <v>3</v>
      </c>
      <c r="G265" s="194">
        <v>38</v>
      </c>
      <c r="H265" s="194">
        <v>0</v>
      </c>
      <c r="I265" s="194">
        <v>0</v>
      </c>
      <c r="J265" s="194">
        <v>2</v>
      </c>
      <c r="K265" s="194">
        <v>5</v>
      </c>
      <c r="L265" s="194">
        <v>40</v>
      </c>
      <c r="M265" s="194">
        <v>1</v>
      </c>
    </row>
    <row r="266" spans="1:13" s="182" customFormat="1" ht="17.100000000000001" customHeight="1">
      <c r="A266" s="186" t="s">
        <v>29</v>
      </c>
      <c r="B266" s="193">
        <f>SUM(B267:B269)</f>
        <v>9</v>
      </c>
      <c r="C266" s="193">
        <f t="shared" ref="C266:M266" si="62">SUM(C267:C269)</f>
        <v>590</v>
      </c>
      <c r="D266" s="193">
        <f t="shared" si="62"/>
        <v>3</v>
      </c>
      <c r="E266" s="193">
        <f t="shared" si="62"/>
        <v>0</v>
      </c>
      <c r="F266" s="193">
        <f t="shared" si="62"/>
        <v>4</v>
      </c>
      <c r="G266" s="193">
        <f t="shared" si="62"/>
        <v>32</v>
      </c>
      <c r="H266" s="193">
        <f t="shared" si="62"/>
        <v>1</v>
      </c>
      <c r="I266" s="193">
        <f t="shared" si="62"/>
        <v>0</v>
      </c>
      <c r="J266" s="193">
        <f t="shared" si="62"/>
        <v>2</v>
      </c>
      <c r="K266" s="193">
        <f t="shared" si="62"/>
        <v>0</v>
      </c>
      <c r="L266" s="193">
        <f t="shared" si="62"/>
        <v>19</v>
      </c>
      <c r="M266" s="193">
        <f t="shared" si="62"/>
        <v>0</v>
      </c>
    </row>
    <row r="267" spans="1:13" s="182" customFormat="1" ht="17.100000000000001" customHeight="1">
      <c r="A267" s="187" t="s">
        <v>31</v>
      </c>
      <c r="B267" s="194">
        <v>3</v>
      </c>
      <c r="C267" s="194">
        <v>52</v>
      </c>
      <c r="D267" s="194">
        <v>0</v>
      </c>
      <c r="E267" s="194">
        <v>0</v>
      </c>
      <c r="F267" s="194">
        <v>1</v>
      </c>
      <c r="G267" s="194">
        <v>8</v>
      </c>
      <c r="H267" s="194">
        <v>0</v>
      </c>
      <c r="I267" s="194">
        <v>0</v>
      </c>
      <c r="J267" s="194">
        <v>0</v>
      </c>
      <c r="K267" s="194">
        <v>0</v>
      </c>
      <c r="L267" s="194">
        <v>5</v>
      </c>
      <c r="M267" s="194">
        <v>0</v>
      </c>
    </row>
    <row r="268" spans="1:13" s="182" customFormat="1" ht="17.100000000000001" customHeight="1">
      <c r="A268" s="187" t="s">
        <v>30</v>
      </c>
      <c r="B268" s="194">
        <v>4</v>
      </c>
      <c r="C268" s="194">
        <v>388</v>
      </c>
      <c r="D268" s="194">
        <v>3</v>
      </c>
      <c r="E268" s="194">
        <v>0</v>
      </c>
      <c r="F268" s="194">
        <v>2</v>
      </c>
      <c r="G268" s="194">
        <v>16</v>
      </c>
      <c r="H268" s="194">
        <v>1</v>
      </c>
      <c r="I268" s="194">
        <v>0</v>
      </c>
      <c r="J268" s="194">
        <v>1</v>
      </c>
      <c r="K268" s="194">
        <v>0</v>
      </c>
      <c r="L268" s="194">
        <v>7</v>
      </c>
      <c r="M268" s="194">
        <v>0</v>
      </c>
    </row>
    <row r="269" spans="1:13" s="182" customFormat="1" ht="17.100000000000001" customHeight="1">
      <c r="A269" s="187" t="s">
        <v>32</v>
      </c>
      <c r="B269" s="194">
        <v>2</v>
      </c>
      <c r="C269" s="194">
        <v>150</v>
      </c>
      <c r="D269" s="194">
        <v>0</v>
      </c>
      <c r="E269" s="194">
        <v>0</v>
      </c>
      <c r="F269" s="194">
        <v>1</v>
      </c>
      <c r="G269" s="194">
        <v>8</v>
      </c>
      <c r="H269" s="194">
        <v>0</v>
      </c>
      <c r="I269" s="194">
        <v>0</v>
      </c>
      <c r="J269" s="194">
        <v>1</v>
      </c>
      <c r="K269" s="194">
        <v>0</v>
      </c>
      <c r="L269" s="194">
        <v>7</v>
      </c>
      <c r="M269" s="194">
        <v>0</v>
      </c>
    </row>
    <row r="270" spans="1:13" s="182" customFormat="1" ht="17.100000000000001" customHeight="1">
      <c r="A270" s="186" t="s">
        <v>209</v>
      </c>
      <c r="B270" s="198">
        <v>5</v>
      </c>
      <c r="C270" s="198">
        <v>460</v>
      </c>
      <c r="D270" s="198">
        <v>26</v>
      </c>
      <c r="E270" s="199">
        <v>0</v>
      </c>
      <c r="F270" s="199">
        <v>0</v>
      </c>
      <c r="G270" s="199">
        <v>0</v>
      </c>
      <c r="H270" s="199">
        <v>4</v>
      </c>
      <c r="I270" s="199">
        <v>0</v>
      </c>
      <c r="J270" s="199">
        <v>2</v>
      </c>
      <c r="K270" s="199">
        <v>0</v>
      </c>
      <c r="L270" s="199">
        <v>13</v>
      </c>
      <c r="M270" s="199">
        <v>0</v>
      </c>
    </row>
    <row r="271" spans="1:13" s="182" customFormat="1" ht="17.100000000000001" customHeight="1">
      <c r="A271" s="186" t="s">
        <v>25</v>
      </c>
      <c r="B271" s="193">
        <f>SUM(B272:B273)</f>
        <v>7</v>
      </c>
      <c r="C271" s="193">
        <f t="shared" ref="C271:M271" si="63">SUM(C272:C273)</f>
        <v>520</v>
      </c>
      <c r="D271" s="193">
        <f t="shared" si="63"/>
        <v>17</v>
      </c>
      <c r="E271" s="193">
        <f t="shared" si="63"/>
        <v>0</v>
      </c>
      <c r="F271" s="193">
        <f t="shared" si="63"/>
        <v>4</v>
      </c>
      <c r="G271" s="193">
        <f t="shared" si="63"/>
        <v>88</v>
      </c>
      <c r="H271" s="193">
        <f t="shared" si="63"/>
        <v>1</v>
      </c>
      <c r="I271" s="193">
        <f t="shared" si="63"/>
        <v>0</v>
      </c>
      <c r="J271" s="193">
        <f t="shared" si="63"/>
        <v>2</v>
      </c>
      <c r="K271" s="193">
        <f t="shared" si="63"/>
        <v>3</v>
      </c>
      <c r="L271" s="193">
        <f t="shared" si="63"/>
        <v>29</v>
      </c>
      <c r="M271" s="193">
        <f t="shared" si="63"/>
        <v>0</v>
      </c>
    </row>
    <row r="272" spans="1:13" s="182" customFormat="1" ht="17.100000000000001" customHeight="1">
      <c r="A272" s="210" t="s">
        <v>226</v>
      </c>
      <c r="B272" s="206">
        <v>2</v>
      </c>
      <c r="C272" s="206">
        <v>66</v>
      </c>
      <c r="D272" s="206">
        <v>2</v>
      </c>
      <c r="E272" s="206">
        <v>0</v>
      </c>
      <c r="F272" s="206">
        <v>0</v>
      </c>
      <c r="G272" s="206">
        <v>0</v>
      </c>
      <c r="H272" s="206">
        <v>0</v>
      </c>
      <c r="I272" s="206">
        <v>0</v>
      </c>
      <c r="J272" s="206">
        <v>0</v>
      </c>
      <c r="K272" s="206">
        <v>2</v>
      </c>
      <c r="L272" s="206">
        <v>6</v>
      </c>
      <c r="M272" s="206">
        <v>0</v>
      </c>
    </row>
    <row r="273" spans="1:13" s="182" customFormat="1" ht="17.100000000000001" customHeight="1">
      <c r="A273" s="210" t="s">
        <v>26</v>
      </c>
      <c r="B273" s="206">
        <v>5</v>
      </c>
      <c r="C273" s="206">
        <v>454</v>
      </c>
      <c r="D273" s="206">
        <v>15</v>
      </c>
      <c r="E273" s="206">
        <v>0</v>
      </c>
      <c r="F273" s="206">
        <v>4</v>
      </c>
      <c r="G273" s="206">
        <v>88</v>
      </c>
      <c r="H273" s="206">
        <v>1</v>
      </c>
      <c r="I273" s="206">
        <v>0</v>
      </c>
      <c r="J273" s="206">
        <v>2</v>
      </c>
      <c r="K273" s="206">
        <v>1</v>
      </c>
      <c r="L273" s="206">
        <v>23</v>
      </c>
      <c r="M273" s="206">
        <v>0</v>
      </c>
    </row>
    <row r="274" spans="1:13" s="182" customFormat="1" ht="17.100000000000001" customHeight="1">
      <c r="A274" s="186" t="s">
        <v>46</v>
      </c>
      <c r="B274" s="193">
        <f t="shared" ref="B274:M274" si="64">SUM(B275:B277)</f>
        <v>0</v>
      </c>
      <c r="C274" s="193">
        <f t="shared" si="64"/>
        <v>0</v>
      </c>
      <c r="D274" s="193">
        <f t="shared" si="64"/>
        <v>4</v>
      </c>
      <c r="E274" s="193">
        <f t="shared" si="64"/>
        <v>0</v>
      </c>
      <c r="F274" s="193">
        <f t="shared" si="64"/>
        <v>4</v>
      </c>
      <c r="G274" s="193">
        <f t="shared" si="64"/>
        <v>32</v>
      </c>
      <c r="H274" s="193">
        <f t="shared" si="64"/>
        <v>1</v>
      </c>
      <c r="I274" s="193">
        <f t="shared" si="64"/>
        <v>0</v>
      </c>
      <c r="J274" s="193">
        <f t="shared" si="64"/>
        <v>0</v>
      </c>
      <c r="K274" s="193">
        <f t="shared" si="64"/>
        <v>0</v>
      </c>
      <c r="L274" s="193">
        <f t="shared" si="64"/>
        <v>33</v>
      </c>
      <c r="M274" s="193">
        <f t="shared" si="64"/>
        <v>2</v>
      </c>
    </row>
    <row r="275" spans="1:13" s="182" customFormat="1" ht="17.100000000000001" customHeight="1">
      <c r="A275" s="187" t="s">
        <v>48</v>
      </c>
      <c r="B275" s="194">
        <v>0</v>
      </c>
      <c r="C275" s="194">
        <v>0</v>
      </c>
      <c r="D275" s="194">
        <v>3</v>
      </c>
      <c r="E275" s="194">
        <v>0</v>
      </c>
      <c r="F275" s="194">
        <v>2</v>
      </c>
      <c r="G275" s="194">
        <v>16</v>
      </c>
      <c r="H275" s="194">
        <v>1</v>
      </c>
      <c r="I275" s="194">
        <v>0</v>
      </c>
      <c r="J275" s="194">
        <v>0</v>
      </c>
      <c r="K275" s="194">
        <v>0</v>
      </c>
      <c r="L275" s="194">
        <v>14</v>
      </c>
      <c r="M275" s="194">
        <v>1</v>
      </c>
    </row>
    <row r="276" spans="1:13" s="182" customFormat="1" ht="17.100000000000001" customHeight="1">
      <c r="A276" s="187" t="s">
        <v>49</v>
      </c>
      <c r="B276" s="194">
        <v>0</v>
      </c>
      <c r="C276" s="194">
        <v>0</v>
      </c>
      <c r="D276" s="194">
        <v>0</v>
      </c>
      <c r="E276" s="194">
        <v>0</v>
      </c>
      <c r="F276" s="194">
        <v>0</v>
      </c>
      <c r="G276" s="194">
        <v>0</v>
      </c>
      <c r="H276" s="194">
        <v>0</v>
      </c>
      <c r="I276" s="194">
        <v>0</v>
      </c>
      <c r="J276" s="194">
        <v>0</v>
      </c>
      <c r="K276" s="194">
        <v>0</v>
      </c>
      <c r="L276" s="194">
        <v>10</v>
      </c>
      <c r="M276" s="194">
        <v>0</v>
      </c>
    </row>
    <row r="277" spans="1:13" s="182" customFormat="1" ht="17.100000000000001" customHeight="1">
      <c r="A277" s="187" t="s">
        <v>47</v>
      </c>
      <c r="B277" s="194">
        <v>0</v>
      </c>
      <c r="C277" s="194">
        <v>0</v>
      </c>
      <c r="D277" s="194">
        <v>1</v>
      </c>
      <c r="E277" s="194">
        <v>0</v>
      </c>
      <c r="F277" s="194">
        <v>2</v>
      </c>
      <c r="G277" s="194">
        <v>16</v>
      </c>
      <c r="H277" s="194">
        <v>0</v>
      </c>
      <c r="I277" s="194">
        <v>0</v>
      </c>
      <c r="J277" s="194">
        <v>0</v>
      </c>
      <c r="K277" s="194">
        <v>0</v>
      </c>
      <c r="L277" s="194">
        <v>9</v>
      </c>
      <c r="M277" s="194">
        <v>1</v>
      </c>
    </row>
    <row r="278" spans="1:13" s="182" customFormat="1" ht="17.100000000000001" customHeight="1">
      <c r="A278" s="186" t="s">
        <v>208</v>
      </c>
      <c r="B278" s="198">
        <v>5</v>
      </c>
      <c r="C278" s="198">
        <v>552</v>
      </c>
      <c r="D278" s="198">
        <v>47</v>
      </c>
      <c r="E278" s="199">
        <v>0</v>
      </c>
      <c r="F278" s="199">
        <v>0</v>
      </c>
      <c r="G278" s="199">
        <v>0</v>
      </c>
      <c r="H278" s="199">
        <v>3</v>
      </c>
      <c r="I278" s="199">
        <v>0</v>
      </c>
      <c r="J278" s="199">
        <v>1</v>
      </c>
      <c r="K278" s="199">
        <v>0</v>
      </c>
      <c r="L278" s="199">
        <v>21</v>
      </c>
      <c r="M278" s="199">
        <v>0</v>
      </c>
    </row>
    <row r="279" spans="1:13" s="182" customFormat="1" ht="17.100000000000001" customHeight="1">
      <c r="A279" s="186" t="s">
        <v>54</v>
      </c>
      <c r="B279" s="193">
        <f t="shared" ref="B279:M279" si="65">SUM(B280:B281)</f>
        <v>5</v>
      </c>
      <c r="C279" s="193">
        <f t="shared" si="65"/>
        <v>466</v>
      </c>
      <c r="D279" s="193">
        <f t="shared" si="65"/>
        <v>19</v>
      </c>
      <c r="E279" s="193">
        <f t="shared" si="65"/>
        <v>0</v>
      </c>
      <c r="F279" s="193">
        <f t="shared" si="65"/>
        <v>4</v>
      </c>
      <c r="G279" s="193">
        <f t="shared" si="65"/>
        <v>56</v>
      </c>
      <c r="H279" s="193">
        <f t="shared" si="65"/>
        <v>8</v>
      </c>
      <c r="I279" s="193">
        <f t="shared" si="65"/>
        <v>0</v>
      </c>
      <c r="J279" s="193">
        <f t="shared" si="65"/>
        <v>2</v>
      </c>
      <c r="K279" s="193">
        <f t="shared" si="65"/>
        <v>2</v>
      </c>
      <c r="L279" s="193">
        <f t="shared" si="65"/>
        <v>30</v>
      </c>
      <c r="M279" s="193">
        <f t="shared" si="65"/>
        <v>0</v>
      </c>
    </row>
    <row r="280" spans="1:13" s="182" customFormat="1" ht="17.100000000000001" customHeight="1">
      <c r="A280" s="187" t="s">
        <v>55</v>
      </c>
      <c r="B280" s="194">
        <v>4</v>
      </c>
      <c r="C280" s="194">
        <v>356</v>
      </c>
      <c r="D280" s="194">
        <v>19</v>
      </c>
      <c r="E280" s="194">
        <v>0</v>
      </c>
      <c r="F280" s="194">
        <v>2</v>
      </c>
      <c r="G280" s="194">
        <v>28</v>
      </c>
      <c r="H280" s="194">
        <v>5</v>
      </c>
      <c r="I280" s="194">
        <v>0</v>
      </c>
      <c r="J280" s="194">
        <v>1</v>
      </c>
      <c r="K280" s="194">
        <v>2</v>
      </c>
      <c r="L280" s="194">
        <v>20</v>
      </c>
      <c r="M280" s="194">
        <v>0</v>
      </c>
    </row>
    <row r="281" spans="1:13" s="182" customFormat="1" ht="17.100000000000001" customHeight="1">
      <c r="A281" s="187" t="s">
        <v>146</v>
      </c>
      <c r="B281" s="194">
        <v>1</v>
      </c>
      <c r="C281" s="194">
        <v>110</v>
      </c>
      <c r="D281" s="194">
        <v>0</v>
      </c>
      <c r="E281" s="194">
        <v>0</v>
      </c>
      <c r="F281" s="194">
        <v>2</v>
      </c>
      <c r="G281" s="194">
        <v>28</v>
      </c>
      <c r="H281" s="194">
        <v>3</v>
      </c>
      <c r="I281" s="194">
        <v>0</v>
      </c>
      <c r="J281" s="194">
        <v>1</v>
      </c>
      <c r="K281" s="194">
        <v>0</v>
      </c>
      <c r="L281" s="194">
        <v>10</v>
      </c>
      <c r="M281" s="194">
        <v>0</v>
      </c>
    </row>
    <row r="282" spans="1:13" s="182" customFormat="1" ht="17.100000000000001" customHeight="1">
      <c r="A282" s="186" t="s">
        <v>81</v>
      </c>
      <c r="B282" s="193">
        <f t="shared" ref="B282:M282" si="66">SUM(B283:B284)</f>
        <v>6</v>
      </c>
      <c r="C282" s="193">
        <f t="shared" si="66"/>
        <v>460</v>
      </c>
      <c r="D282" s="193">
        <f t="shared" si="66"/>
        <v>11</v>
      </c>
      <c r="E282" s="193">
        <f t="shared" si="66"/>
        <v>0</v>
      </c>
      <c r="F282" s="193">
        <f t="shared" si="66"/>
        <v>5</v>
      </c>
      <c r="G282" s="193">
        <f t="shared" si="66"/>
        <v>50</v>
      </c>
      <c r="H282" s="193">
        <f t="shared" si="66"/>
        <v>0</v>
      </c>
      <c r="I282" s="193">
        <f t="shared" si="66"/>
        <v>0</v>
      </c>
      <c r="J282" s="193">
        <f t="shared" si="66"/>
        <v>2</v>
      </c>
      <c r="K282" s="193">
        <f t="shared" si="66"/>
        <v>0</v>
      </c>
      <c r="L282" s="193">
        <f t="shared" si="66"/>
        <v>20</v>
      </c>
      <c r="M282" s="193">
        <f t="shared" si="66"/>
        <v>0</v>
      </c>
    </row>
    <row r="283" spans="1:13" s="182" customFormat="1" ht="17.100000000000001" customHeight="1">
      <c r="A283" s="187" t="s">
        <v>227</v>
      </c>
      <c r="B283" s="194">
        <v>1</v>
      </c>
      <c r="C283" s="194">
        <v>100</v>
      </c>
      <c r="D283" s="194">
        <v>3</v>
      </c>
      <c r="E283" s="194">
        <v>0</v>
      </c>
      <c r="F283" s="194">
        <v>1</v>
      </c>
      <c r="G283" s="194">
        <v>10</v>
      </c>
      <c r="H283" s="194">
        <v>0</v>
      </c>
      <c r="I283" s="194">
        <v>0</v>
      </c>
      <c r="J283" s="194">
        <v>1</v>
      </c>
      <c r="K283" s="194">
        <v>0</v>
      </c>
      <c r="L283" s="194">
        <v>9</v>
      </c>
      <c r="M283" s="194">
        <v>0</v>
      </c>
    </row>
    <row r="284" spans="1:13" s="182" customFormat="1" ht="17.100000000000001" customHeight="1">
      <c r="A284" s="187" t="s">
        <v>228</v>
      </c>
      <c r="B284" s="194">
        <v>5</v>
      </c>
      <c r="C284" s="194">
        <v>360</v>
      </c>
      <c r="D284" s="194">
        <v>8</v>
      </c>
      <c r="E284" s="194">
        <v>0</v>
      </c>
      <c r="F284" s="194">
        <v>4</v>
      </c>
      <c r="G284" s="194">
        <v>40</v>
      </c>
      <c r="H284" s="194">
        <v>0</v>
      </c>
      <c r="I284" s="194">
        <v>0</v>
      </c>
      <c r="J284" s="194">
        <v>1</v>
      </c>
      <c r="K284" s="194">
        <v>0</v>
      </c>
      <c r="L284" s="194">
        <v>11</v>
      </c>
      <c r="M284" s="194">
        <v>0</v>
      </c>
    </row>
    <row r="285" spans="1:13" s="182" customFormat="1" ht="17.100000000000001" customHeight="1">
      <c r="A285" s="186" t="s">
        <v>38</v>
      </c>
      <c r="B285" s="193">
        <f>SUM(B286:B288)</f>
        <v>12</v>
      </c>
      <c r="C285" s="193">
        <f t="shared" ref="C285:M285" si="67">SUM(C286:C288)</f>
        <v>748</v>
      </c>
      <c r="D285" s="193">
        <f t="shared" si="67"/>
        <v>60</v>
      </c>
      <c r="E285" s="193">
        <f t="shared" si="67"/>
        <v>0</v>
      </c>
      <c r="F285" s="193">
        <f t="shared" si="67"/>
        <v>13</v>
      </c>
      <c r="G285" s="193">
        <f t="shared" si="67"/>
        <v>194</v>
      </c>
      <c r="H285" s="193">
        <f t="shared" si="67"/>
        <v>1</v>
      </c>
      <c r="I285" s="193">
        <f t="shared" si="67"/>
        <v>0</v>
      </c>
      <c r="J285" s="193">
        <f t="shared" si="67"/>
        <v>3</v>
      </c>
      <c r="K285" s="193">
        <f t="shared" si="67"/>
        <v>0</v>
      </c>
      <c r="L285" s="193">
        <f t="shared" si="67"/>
        <v>50</v>
      </c>
      <c r="M285" s="193">
        <f t="shared" si="67"/>
        <v>0</v>
      </c>
    </row>
    <row r="286" spans="1:13" s="182" customFormat="1" ht="17.100000000000001" customHeight="1">
      <c r="A286" s="187" t="s">
        <v>41</v>
      </c>
      <c r="B286" s="194">
        <v>4</v>
      </c>
      <c r="C286" s="194">
        <v>198</v>
      </c>
      <c r="D286" s="194">
        <v>4</v>
      </c>
      <c r="E286" s="194">
        <v>0</v>
      </c>
      <c r="F286" s="194">
        <v>2</v>
      </c>
      <c r="G286" s="194">
        <v>28</v>
      </c>
      <c r="H286" s="194">
        <v>0</v>
      </c>
      <c r="I286" s="194">
        <v>0</v>
      </c>
      <c r="J286" s="194">
        <v>1</v>
      </c>
      <c r="K286" s="194">
        <v>0</v>
      </c>
      <c r="L286" s="194">
        <v>15</v>
      </c>
      <c r="M286" s="194">
        <v>0</v>
      </c>
    </row>
    <row r="287" spans="1:13" s="182" customFormat="1" ht="17.100000000000001" customHeight="1">
      <c r="A287" s="187" t="s">
        <v>39</v>
      </c>
      <c r="B287" s="194">
        <v>6</v>
      </c>
      <c r="C287" s="194">
        <v>524</v>
      </c>
      <c r="D287" s="194">
        <v>37</v>
      </c>
      <c r="E287" s="194">
        <v>0</v>
      </c>
      <c r="F287" s="194">
        <v>10</v>
      </c>
      <c r="G287" s="194">
        <v>146</v>
      </c>
      <c r="H287" s="194">
        <v>1</v>
      </c>
      <c r="I287" s="194">
        <v>0</v>
      </c>
      <c r="J287" s="194">
        <v>2</v>
      </c>
      <c r="K287" s="194">
        <v>0</v>
      </c>
      <c r="L287" s="194">
        <v>22</v>
      </c>
      <c r="M287" s="194">
        <v>0</v>
      </c>
    </row>
    <row r="288" spans="1:13" s="182" customFormat="1" ht="17.100000000000001" customHeight="1">
      <c r="A288" s="187" t="s">
        <v>40</v>
      </c>
      <c r="B288" s="194">
        <v>2</v>
      </c>
      <c r="C288" s="194">
        <v>26</v>
      </c>
      <c r="D288" s="194">
        <v>19</v>
      </c>
      <c r="E288" s="194">
        <v>0</v>
      </c>
      <c r="F288" s="194">
        <v>1</v>
      </c>
      <c r="G288" s="194">
        <v>20</v>
      </c>
      <c r="H288" s="194">
        <v>0</v>
      </c>
      <c r="I288" s="194">
        <v>0</v>
      </c>
      <c r="J288" s="194">
        <v>0</v>
      </c>
      <c r="K288" s="194">
        <v>0</v>
      </c>
      <c r="L288" s="194">
        <v>13</v>
      </c>
      <c r="M288" s="194">
        <v>0</v>
      </c>
    </row>
    <row r="289" spans="1:13" ht="12.75">
      <c r="A289" s="190"/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191"/>
      <c r="M289" s="192" t="s">
        <v>90</v>
      </c>
    </row>
    <row r="290" spans="1:13" s="182" customFormat="1" ht="60" customHeight="1">
      <c r="A290" s="263" t="s">
        <v>282</v>
      </c>
      <c r="B290" s="263"/>
      <c r="C290" s="263"/>
      <c r="D290" s="263"/>
      <c r="E290" s="263"/>
      <c r="F290" s="263"/>
      <c r="G290" s="263"/>
      <c r="H290" s="263"/>
      <c r="I290" s="263"/>
      <c r="J290" s="263"/>
      <c r="K290" s="263"/>
      <c r="L290" s="263"/>
      <c r="M290" s="263"/>
    </row>
    <row r="291" spans="1:13" s="182" customFormat="1" ht="13.35" customHeight="1">
      <c r="A291" s="182" t="s">
        <v>279</v>
      </c>
      <c r="F291" s="203" t="s">
        <v>199</v>
      </c>
      <c r="L291" s="264" t="s">
        <v>89</v>
      </c>
      <c r="M291" s="264"/>
    </row>
    <row r="292" spans="1:13" s="182" customFormat="1" ht="22.5" customHeight="1">
      <c r="A292" s="265" t="s">
        <v>7</v>
      </c>
      <c r="B292" s="265" t="s">
        <v>1</v>
      </c>
      <c r="C292" s="265"/>
      <c r="D292" s="265" t="s">
        <v>4</v>
      </c>
      <c r="E292" s="265"/>
      <c r="F292" s="265" t="s">
        <v>5</v>
      </c>
      <c r="G292" s="265"/>
      <c r="H292" s="265" t="s">
        <v>6</v>
      </c>
      <c r="I292" s="265"/>
      <c r="J292" s="266" t="s">
        <v>8</v>
      </c>
      <c r="K292" s="266" t="s">
        <v>9</v>
      </c>
      <c r="L292" s="266" t="s">
        <v>11</v>
      </c>
      <c r="M292" s="266" t="s">
        <v>10</v>
      </c>
    </row>
    <row r="293" spans="1:13" s="182" customFormat="1" ht="22.5" customHeight="1">
      <c r="A293" s="265"/>
      <c r="B293" s="183" t="s">
        <v>2</v>
      </c>
      <c r="C293" s="183" t="s">
        <v>3</v>
      </c>
      <c r="D293" s="183" t="s">
        <v>2</v>
      </c>
      <c r="E293" s="183" t="s">
        <v>3</v>
      </c>
      <c r="F293" s="183" t="s">
        <v>2</v>
      </c>
      <c r="G293" s="183" t="s">
        <v>3</v>
      </c>
      <c r="H293" s="183" t="s">
        <v>2</v>
      </c>
      <c r="I293" s="183" t="s">
        <v>3</v>
      </c>
      <c r="J293" s="266"/>
      <c r="K293" s="266"/>
      <c r="L293" s="266"/>
      <c r="M293" s="266"/>
    </row>
    <row r="294" spans="1:13" s="182" customFormat="1" ht="17.100000000000001" customHeight="1">
      <c r="A294" s="186" t="s">
        <v>19</v>
      </c>
      <c r="B294" s="193">
        <f>SUM(B295:B297)</f>
        <v>8</v>
      </c>
      <c r="C294" s="193">
        <f t="shared" ref="C294:M294" si="68">SUM(C295:C297)</f>
        <v>772</v>
      </c>
      <c r="D294" s="193">
        <f t="shared" si="68"/>
        <v>18</v>
      </c>
      <c r="E294" s="193">
        <f t="shared" si="68"/>
        <v>0</v>
      </c>
      <c r="F294" s="193">
        <f t="shared" si="68"/>
        <v>4</v>
      </c>
      <c r="G294" s="193">
        <f t="shared" si="68"/>
        <v>74</v>
      </c>
      <c r="H294" s="193">
        <f t="shared" si="68"/>
        <v>1</v>
      </c>
      <c r="I294" s="193">
        <f t="shared" si="68"/>
        <v>0</v>
      </c>
      <c r="J294" s="193">
        <f t="shared" si="68"/>
        <v>2</v>
      </c>
      <c r="K294" s="193">
        <f t="shared" si="68"/>
        <v>0</v>
      </c>
      <c r="L294" s="193">
        <f t="shared" si="68"/>
        <v>49</v>
      </c>
      <c r="M294" s="193">
        <f t="shared" si="68"/>
        <v>1</v>
      </c>
    </row>
    <row r="295" spans="1:13" s="182" customFormat="1" ht="17.100000000000001" customHeight="1">
      <c r="A295" s="187" t="s">
        <v>20</v>
      </c>
      <c r="B295" s="195">
        <v>5</v>
      </c>
      <c r="C295" s="195">
        <v>564</v>
      </c>
      <c r="D295" s="194">
        <v>14</v>
      </c>
      <c r="E295" s="194">
        <v>0</v>
      </c>
      <c r="F295" s="194">
        <v>3</v>
      </c>
      <c r="G295" s="194">
        <v>52</v>
      </c>
      <c r="H295" s="194">
        <v>1</v>
      </c>
      <c r="I295" s="194">
        <v>0</v>
      </c>
      <c r="J295" s="194">
        <v>1</v>
      </c>
      <c r="K295" s="194">
        <v>0</v>
      </c>
      <c r="L295" s="195">
        <v>26</v>
      </c>
      <c r="M295" s="194">
        <v>1</v>
      </c>
    </row>
    <row r="296" spans="1:13" s="182" customFormat="1" ht="17.100000000000001" customHeight="1">
      <c r="A296" s="187" t="s">
        <v>229</v>
      </c>
      <c r="B296" s="195">
        <v>1</v>
      </c>
      <c r="C296" s="195">
        <v>40</v>
      </c>
      <c r="D296" s="194">
        <v>2</v>
      </c>
      <c r="E296" s="194">
        <v>0</v>
      </c>
      <c r="F296" s="194">
        <v>0</v>
      </c>
      <c r="G296" s="194">
        <v>0</v>
      </c>
      <c r="H296" s="194">
        <v>0</v>
      </c>
      <c r="I296" s="194">
        <v>0</v>
      </c>
      <c r="J296" s="194">
        <v>0</v>
      </c>
      <c r="K296" s="194">
        <v>0</v>
      </c>
      <c r="L296" s="195">
        <v>9</v>
      </c>
      <c r="M296" s="194">
        <v>0</v>
      </c>
    </row>
    <row r="297" spans="1:13" s="182" customFormat="1" ht="17.100000000000001" customHeight="1">
      <c r="A297" s="187" t="s">
        <v>21</v>
      </c>
      <c r="B297" s="194">
        <v>2</v>
      </c>
      <c r="C297" s="194">
        <v>168</v>
      </c>
      <c r="D297" s="194">
        <v>2</v>
      </c>
      <c r="E297" s="194">
        <v>0</v>
      </c>
      <c r="F297" s="194">
        <v>1</v>
      </c>
      <c r="G297" s="194">
        <v>22</v>
      </c>
      <c r="H297" s="194">
        <v>0</v>
      </c>
      <c r="I297" s="194">
        <v>0</v>
      </c>
      <c r="J297" s="194">
        <v>1</v>
      </c>
      <c r="K297" s="194">
        <v>0</v>
      </c>
      <c r="L297" s="195">
        <v>14</v>
      </c>
      <c r="M297" s="194">
        <v>0</v>
      </c>
    </row>
    <row r="298" spans="1:13" s="182" customFormat="1" ht="17.100000000000001" customHeight="1">
      <c r="A298" s="186" t="s">
        <v>207</v>
      </c>
      <c r="B298" s="198">
        <v>3</v>
      </c>
      <c r="C298" s="198">
        <v>158</v>
      </c>
      <c r="D298" s="198">
        <v>19</v>
      </c>
      <c r="E298" s="199">
        <v>0</v>
      </c>
      <c r="F298" s="199">
        <v>3</v>
      </c>
      <c r="G298" s="199">
        <v>24</v>
      </c>
      <c r="H298" s="199">
        <v>3</v>
      </c>
      <c r="I298" s="199">
        <v>0</v>
      </c>
      <c r="J298" s="199">
        <v>0</v>
      </c>
      <c r="K298" s="199">
        <v>0</v>
      </c>
      <c r="L298" s="199">
        <v>24</v>
      </c>
      <c r="M298" s="199">
        <v>0</v>
      </c>
    </row>
    <row r="299" spans="1:13" ht="17.100000000000001" customHeight="1">
      <c r="A299" s="186" t="s">
        <v>206</v>
      </c>
      <c r="B299" s="198">
        <v>9</v>
      </c>
      <c r="C299" s="198">
        <v>360</v>
      </c>
      <c r="D299" s="198">
        <v>191</v>
      </c>
      <c r="E299" s="199">
        <v>0</v>
      </c>
      <c r="F299" s="199">
        <v>1</v>
      </c>
      <c r="G299" s="199">
        <v>8</v>
      </c>
      <c r="H299" s="199">
        <v>5</v>
      </c>
      <c r="I299" s="199">
        <v>0</v>
      </c>
      <c r="J299" s="199">
        <v>79</v>
      </c>
      <c r="K299" s="199">
        <v>3</v>
      </c>
      <c r="L299" s="199">
        <v>16</v>
      </c>
      <c r="M299" s="199">
        <v>0</v>
      </c>
    </row>
    <row r="300" spans="1:13" s="182" customFormat="1" ht="17.100000000000001" customHeight="1">
      <c r="A300" s="186" t="s">
        <v>14</v>
      </c>
      <c r="B300" s="193">
        <f t="shared" ref="B300:M300" si="69">SUM(B301)</f>
        <v>9</v>
      </c>
      <c r="C300" s="193">
        <f t="shared" si="69"/>
        <v>1024</v>
      </c>
      <c r="D300" s="193">
        <f t="shared" si="69"/>
        <v>14</v>
      </c>
      <c r="E300" s="193">
        <f t="shared" si="69"/>
        <v>12</v>
      </c>
      <c r="F300" s="193">
        <f t="shared" si="69"/>
        <v>5</v>
      </c>
      <c r="G300" s="193">
        <f t="shared" si="69"/>
        <v>70</v>
      </c>
      <c r="H300" s="193">
        <f t="shared" si="69"/>
        <v>1</v>
      </c>
      <c r="I300" s="193">
        <f t="shared" si="69"/>
        <v>0</v>
      </c>
      <c r="J300" s="193">
        <f t="shared" si="69"/>
        <v>2</v>
      </c>
      <c r="K300" s="193">
        <f t="shared" si="69"/>
        <v>0</v>
      </c>
      <c r="L300" s="193">
        <f t="shared" si="69"/>
        <v>29</v>
      </c>
      <c r="M300" s="193">
        <f t="shared" si="69"/>
        <v>0</v>
      </c>
    </row>
    <row r="301" spans="1:13" s="182" customFormat="1" ht="17.100000000000001" customHeight="1">
      <c r="A301" s="187" t="s">
        <v>15</v>
      </c>
      <c r="B301" s="194">
        <v>9</v>
      </c>
      <c r="C301" s="194">
        <v>1024</v>
      </c>
      <c r="D301" s="195">
        <v>14</v>
      </c>
      <c r="E301" s="195">
        <v>12</v>
      </c>
      <c r="F301" s="194">
        <v>5</v>
      </c>
      <c r="G301" s="194">
        <v>70</v>
      </c>
      <c r="H301" s="194">
        <v>1</v>
      </c>
      <c r="I301" s="194">
        <v>0</v>
      </c>
      <c r="J301" s="194">
        <v>2</v>
      </c>
      <c r="K301" s="194">
        <v>0</v>
      </c>
      <c r="L301" s="194">
        <v>29</v>
      </c>
      <c r="M301" s="194">
        <v>0</v>
      </c>
    </row>
    <row r="302" spans="1:13" s="182" customFormat="1" ht="17.100000000000001" customHeight="1">
      <c r="A302" s="186" t="s">
        <v>182</v>
      </c>
      <c r="B302" s="193">
        <v>5</v>
      </c>
      <c r="C302" s="193">
        <v>270</v>
      </c>
      <c r="D302" s="193">
        <v>30</v>
      </c>
      <c r="E302" s="193">
        <v>0</v>
      </c>
      <c r="F302" s="193">
        <v>1</v>
      </c>
      <c r="G302" s="193">
        <v>8</v>
      </c>
      <c r="H302" s="193">
        <v>6</v>
      </c>
      <c r="I302" s="193">
        <v>0</v>
      </c>
      <c r="J302" s="193">
        <v>0</v>
      </c>
      <c r="K302" s="193">
        <v>0</v>
      </c>
      <c r="L302" s="193">
        <v>23</v>
      </c>
      <c r="M302" s="193">
        <v>0</v>
      </c>
    </row>
    <row r="303" spans="1:13" s="182" customFormat="1" ht="17.100000000000001" customHeight="1">
      <c r="A303" s="186" t="s">
        <v>12</v>
      </c>
      <c r="B303" s="193">
        <f t="shared" ref="B303:M303" si="70">SUM(B304)</f>
        <v>22</v>
      </c>
      <c r="C303" s="193">
        <f t="shared" si="70"/>
        <v>5292</v>
      </c>
      <c r="D303" s="193">
        <f t="shared" si="70"/>
        <v>45</v>
      </c>
      <c r="E303" s="193">
        <f t="shared" si="70"/>
        <v>0</v>
      </c>
      <c r="F303" s="193">
        <f t="shared" si="70"/>
        <v>4</v>
      </c>
      <c r="G303" s="193">
        <f t="shared" si="70"/>
        <v>38</v>
      </c>
      <c r="H303" s="193">
        <f t="shared" si="70"/>
        <v>5</v>
      </c>
      <c r="I303" s="193">
        <f t="shared" si="70"/>
        <v>52</v>
      </c>
      <c r="J303" s="193">
        <f t="shared" si="70"/>
        <v>5</v>
      </c>
      <c r="K303" s="193">
        <f t="shared" si="70"/>
        <v>0</v>
      </c>
      <c r="L303" s="193">
        <f t="shared" si="70"/>
        <v>54</v>
      </c>
      <c r="M303" s="193">
        <f t="shared" si="70"/>
        <v>0</v>
      </c>
    </row>
    <row r="304" spans="1:13" s="182" customFormat="1" ht="17.100000000000001" customHeight="1">
      <c r="A304" s="187" t="s">
        <v>13</v>
      </c>
      <c r="B304" s="195">
        <v>22</v>
      </c>
      <c r="C304" s="195">
        <v>5292</v>
      </c>
      <c r="D304" s="195">
        <v>45</v>
      </c>
      <c r="E304" s="195">
        <v>0</v>
      </c>
      <c r="F304" s="195">
        <v>4</v>
      </c>
      <c r="G304" s="195">
        <v>38</v>
      </c>
      <c r="H304" s="195">
        <v>5</v>
      </c>
      <c r="I304" s="195">
        <v>52</v>
      </c>
      <c r="J304" s="195">
        <v>5</v>
      </c>
      <c r="K304" s="195">
        <v>0</v>
      </c>
      <c r="L304" s="195">
        <v>54</v>
      </c>
      <c r="M304" s="195">
        <v>0</v>
      </c>
    </row>
    <row r="305" spans="1:13" s="182" customFormat="1" ht="17.100000000000001" customHeight="1">
      <c r="A305" s="186" t="s">
        <v>73</v>
      </c>
      <c r="B305" s="193">
        <f t="shared" ref="B305:M305" si="71">SUM(B306:B310)</f>
        <v>4</v>
      </c>
      <c r="C305" s="193">
        <f t="shared" si="71"/>
        <v>430</v>
      </c>
      <c r="D305" s="193">
        <f t="shared" si="71"/>
        <v>12</v>
      </c>
      <c r="E305" s="193">
        <f t="shared" si="71"/>
        <v>0</v>
      </c>
      <c r="F305" s="193">
        <f t="shared" si="71"/>
        <v>1</v>
      </c>
      <c r="G305" s="193">
        <f t="shared" si="71"/>
        <v>12</v>
      </c>
      <c r="H305" s="193">
        <f t="shared" si="71"/>
        <v>5</v>
      </c>
      <c r="I305" s="193">
        <f t="shared" si="71"/>
        <v>0</v>
      </c>
      <c r="J305" s="193">
        <f t="shared" si="71"/>
        <v>1</v>
      </c>
      <c r="K305" s="193">
        <f t="shared" si="71"/>
        <v>0</v>
      </c>
      <c r="L305" s="193">
        <f t="shared" si="71"/>
        <v>19</v>
      </c>
      <c r="M305" s="193">
        <f t="shared" si="71"/>
        <v>0</v>
      </c>
    </row>
    <row r="306" spans="1:13" s="182" customFormat="1" ht="17.100000000000001" customHeight="1">
      <c r="A306" s="187" t="s">
        <v>74</v>
      </c>
      <c r="B306" s="194">
        <v>1</v>
      </c>
      <c r="C306" s="194">
        <v>210</v>
      </c>
      <c r="D306" s="195">
        <v>6</v>
      </c>
      <c r="E306" s="194">
        <v>0</v>
      </c>
      <c r="F306" s="194">
        <v>1</v>
      </c>
      <c r="G306" s="194">
        <v>12</v>
      </c>
      <c r="H306" s="195">
        <v>2</v>
      </c>
      <c r="I306" s="195">
        <v>0</v>
      </c>
      <c r="J306" s="194">
        <v>0</v>
      </c>
      <c r="K306" s="194">
        <v>0</v>
      </c>
      <c r="L306" s="194">
        <v>12</v>
      </c>
      <c r="M306" s="194">
        <v>0</v>
      </c>
    </row>
    <row r="307" spans="1:13" s="182" customFormat="1" ht="17.100000000000001" customHeight="1">
      <c r="A307" s="187" t="s">
        <v>75</v>
      </c>
      <c r="B307" s="194">
        <v>1</v>
      </c>
      <c r="C307" s="194">
        <v>60</v>
      </c>
      <c r="D307" s="195">
        <v>1</v>
      </c>
      <c r="E307" s="194">
        <v>0</v>
      </c>
      <c r="F307" s="194">
        <v>0</v>
      </c>
      <c r="G307" s="194">
        <v>0</v>
      </c>
      <c r="H307" s="195">
        <v>1</v>
      </c>
      <c r="I307" s="195">
        <v>0</v>
      </c>
      <c r="J307" s="194">
        <v>0</v>
      </c>
      <c r="K307" s="194">
        <v>0</v>
      </c>
      <c r="L307" s="194">
        <v>2</v>
      </c>
      <c r="M307" s="194">
        <v>0</v>
      </c>
    </row>
    <row r="308" spans="1:13" s="182" customFormat="1" ht="17.100000000000001" customHeight="1">
      <c r="A308" s="187" t="s">
        <v>76</v>
      </c>
      <c r="B308" s="194">
        <v>1</v>
      </c>
      <c r="C308" s="194">
        <v>60</v>
      </c>
      <c r="D308" s="195">
        <v>0</v>
      </c>
      <c r="E308" s="194">
        <v>0</v>
      </c>
      <c r="F308" s="194">
        <v>0</v>
      </c>
      <c r="G308" s="194">
        <v>0</v>
      </c>
      <c r="H308" s="195">
        <v>1</v>
      </c>
      <c r="I308" s="195">
        <v>0</v>
      </c>
      <c r="J308" s="194">
        <v>1</v>
      </c>
      <c r="K308" s="194">
        <v>0</v>
      </c>
      <c r="L308" s="194">
        <v>0</v>
      </c>
      <c r="M308" s="194">
        <v>0</v>
      </c>
    </row>
    <row r="309" spans="1:13" s="182" customFormat="1" ht="17.100000000000001" customHeight="1">
      <c r="A309" s="187" t="s">
        <v>230</v>
      </c>
      <c r="B309" s="194">
        <v>0</v>
      </c>
      <c r="C309" s="194">
        <v>0</v>
      </c>
      <c r="D309" s="195">
        <v>5</v>
      </c>
      <c r="E309" s="194">
        <v>0</v>
      </c>
      <c r="F309" s="194">
        <v>0</v>
      </c>
      <c r="G309" s="194">
        <v>0</v>
      </c>
      <c r="H309" s="195">
        <v>0</v>
      </c>
      <c r="I309" s="195">
        <v>0</v>
      </c>
      <c r="J309" s="194">
        <v>0</v>
      </c>
      <c r="K309" s="194">
        <v>0</v>
      </c>
      <c r="L309" s="194">
        <v>0</v>
      </c>
      <c r="M309" s="194">
        <v>0</v>
      </c>
    </row>
    <row r="310" spans="1:13" s="182" customFormat="1" ht="17.100000000000001" customHeight="1">
      <c r="A310" s="187" t="s">
        <v>77</v>
      </c>
      <c r="B310" s="194">
        <v>1</v>
      </c>
      <c r="C310" s="194">
        <v>100</v>
      </c>
      <c r="D310" s="195">
        <v>0</v>
      </c>
      <c r="E310" s="194">
        <v>0</v>
      </c>
      <c r="F310" s="194">
        <v>0</v>
      </c>
      <c r="G310" s="194">
        <v>0</v>
      </c>
      <c r="H310" s="195">
        <v>1</v>
      </c>
      <c r="I310" s="195">
        <v>0</v>
      </c>
      <c r="J310" s="194">
        <v>0</v>
      </c>
      <c r="K310" s="194">
        <v>0</v>
      </c>
      <c r="L310" s="194">
        <v>5</v>
      </c>
      <c r="M310" s="194">
        <v>0</v>
      </c>
    </row>
    <row r="311" spans="1:13" ht="17.100000000000001" customHeight="1">
      <c r="A311" s="186" t="s">
        <v>205</v>
      </c>
      <c r="B311" s="198">
        <v>10</v>
      </c>
      <c r="C311" s="198">
        <v>507</v>
      </c>
      <c r="D311" s="198">
        <v>56</v>
      </c>
      <c r="E311" s="199">
        <v>0</v>
      </c>
      <c r="F311" s="199">
        <v>0</v>
      </c>
      <c r="G311" s="199">
        <v>0</v>
      </c>
      <c r="H311" s="199">
        <v>4</v>
      </c>
      <c r="I311" s="199">
        <v>0</v>
      </c>
      <c r="J311" s="199">
        <v>2</v>
      </c>
      <c r="K311" s="199">
        <v>0</v>
      </c>
      <c r="L311" s="199">
        <v>16</v>
      </c>
      <c r="M311" s="199">
        <v>0</v>
      </c>
    </row>
    <row r="312" spans="1:13" s="182" customFormat="1" ht="17.100000000000001" customHeight="1">
      <c r="A312" s="186" t="s">
        <v>22</v>
      </c>
      <c r="B312" s="193">
        <f>SUM(B313:B317)</f>
        <v>7</v>
      </c>
      <c r="C312" s="193">
        <f t="shared" ref="C312:M312" si="72">SUM(C313:C317)</f>
        <v>670</v>
      </c>
      <c r="D312" s="193">
        <f t="shared" si="72"/>
        <v>10</v>
      </c>
      <c r="E312" s="193">
        <f t="shared" si="72"/>
        <v>0</v>
      </c>
      <c r="F312" s="193">
        <f t="shared" si="72"/>
        <v>8</v>
      </c>
      <c r="G312" s="193">
        <f t="shared" si="72"/>
        <v>160</v>
      </c>
      <c r="H312" s="193">
        <f t="shared" si="72"/>
        <v>2</v>
      </c>
      <c r="I312" s="193">
        <f t="shared" si="72"/>
        <v>0</v>
      </c>
      <c r="J312" s="193">
        <f t="shared" si="72"/>
        <v>3</v>
      </c>
      <c r="K312" s="193">
        <f t="shared" si="72"/>
        <v>0</v>
      </c>
      <c r="L312" s="193">
        <f t="shared" si="72"/>
        <v>35</v>
      </c>
      <c r="M312" s="193">
        <f t="shared" si="72"/>
        <v>1</v>
      </c>
    </row>
    <row r="313" spans="1:13" s="211" customFormat="1" ht="17.100000000000001" customHeight="1">
      <c r="A313" s="210" t="s">
        <v>24</v>
      </c>
      <c r="B313" s="206">
        <v>1</v>
      </c>
      <c r="C313" s="206">
        <v>110</v>
      </c>
      <c r="D313" s="206">
        <v>0</v>
      </c>
      <c r="E313" s="206">
        <v>0</v>
      </c>
      <c r="F313" s="206">
        <v>1</v>
      </c>
      <c r="G313" s="206">
        <v>20</v>
      </c>
      <c r="H313" s="206">
        <v>0</v>
      </c>
      <c r="I313" s="206">
        <v>0</v>
      </c>
      <c r="J313" s="206">
        <v>1</v>
      </c>
      <c r="K313" s="206">
        <v>0</v>
      </c>
      <c r="L313" s="206">
        <v>11</v>
      </c>
      <c r="M313" s="206">
        <v>0</v>
      </c>
    </row>
    <row r="314" spans="1:13" s="211" customFormat="1" ht="17.100000000000001" customHeight="1">
      <c r="A314" s="210" t="s">
        <v>23</v>
      </c>
      <c r="B314" s="206">
        <v>4</v>
      </c>
      <c r="C314" s="206">
        <v>470</v>
      </c>
      <c r="D314" s="206">
        <v>9</v>
      </c>
      <c r="E314" s="206">
        <v>0</v>
      </c>
      <c r="F314" s="206">
        <v>7</v>
      </c>
      <c r="G314" s="206">
        <v>140</v>
      </c>
      <c r="H314" s="206">
        <v>2</v>
      </c>
      <c r="I314" s="206">
        <v>0</v>
      </c>
      <c r="J314" s="206">
        <v>2</v>
      </c>
      <c r="K314" s="206">
        <v>0</v>
      </c>
      <c r="L314" s="206">
        <v>24</v>
      </c>
      <c r="M314" s="206">
        <v>1</v>
      </c>
    </row>
    <row r="315" spans="1:13" s="211" customFormat="1" ht="17.100000000000001" customHeight="1">
      <c r="A315" s="210" t="s">
        <v>231</v>
      </c>
      <c r="B315" s="206">
        <v>1</v>
      </c>
      <c r="C315" s="206">
        <v>50</v>
      </c>
      <c r="D315" s="206">
        <v>1</v>
      </c>
      <c r="E315" s="206">
        <v>0</v>
      </c>
      <c r="F315" s="206">
        <v>0</v>
      </c>
      <c r="G315" s="206">
        <v>0</v>
      </c>
      <c r="H315" s="206">
        <v>0</v>
      </c>
      <c r="I315" s="206">
        <v>0</v>
      </c>
      <c r="J315" s="206">
        <v>0</v>
      </c>
      <c r="K315" s="206">
        <v>0</v>
      </c>
      <c r="L315" s="206">
        <v>0</v>
      </c>
      <c r="M315" s="206">
        <v>0</v>
      </c>
    </row>
    <row r="316" spans="1:13" s="182" customFormat="1" ht="17.100000000000001" customHeight="1">
      <c r="A316" s="210" t="s">
        <v>232</v>
      </c>
      <c r="B316" s="206">
        <v>0</v>
      </c>
      <c r="C316" s="206">
        <v>0</v>
      </c>
      <c r="D316" s="206">
        <v>0</v>
      </c>
      <c r="E316" s="206">
        <v>0</v>
      </c>
      <c r="F316" s="206">
        <v>0</v>
      </c>
      <c r="G316" s="206">
        <v>0</v>
      </c>
      <c r="H316" s="206">
        <v>0</v>
      </c>
      <c r="I316" s="206">
        <v>0</v>
      </c>
      <c r="J316" s="206">
        <v>0</v>
      </c>
      <c r="K316" s="206">
        <v>0</v>
      </c>
      <c r="L316" s="206">
        <v>0</v>
      </c>
      <c r="M316" s="206">
        <v>0</v>
      </c>
    </row>
    <row r="317" spans="1:13" s="182" customFormat="1" ht="17.100000000000001" customHeight="1">
      <c r="A317" s="210" t="s">
        <v>233</v>
      </c>
      <c r="B317" s="206">
        <v>1</v>
      </c>
      <c r="C317" s="206">
        <v>40</v>
      </c>
      <c r="D317" s="206">
        <v>0</v>
      </c>
      <c r="E317" s="206">
        <v>0</v>
      </c>
      <c r="F317" s="206">
        <v>0</v>
      </c>
      <c r="G317" s="206">
        <v>0</v>
      </c>
      <c r="H317" s="206">
        <v>0</v>
      </c>
      <c r="I317" s="206">
        <v>0</v>
      </c>
      <c r="J317" s="206">
        <v>0</v>
      </c>
      <c r="K317" s="206">
        <v>0</v>
      </c>
      <c r="L317" s="206">
        <v>0</v>
      </c>
      <c r="M317" s="206">
        <v>0</v>
      </c>
    </row>
    <row r="318" spans="1:13" s="182" customFormat="1" ht="17.100000000000001" customHeight="1">
      <c r="A318" s="186" t="s">
        <v>70</v>
      </c>
      <c r="B318" s="193">
        <f>SUM(B319:B325)</f>
        <v>10</v>
      </c>
      <c r="C318" s="193">
        <f t="shared" ref="C318:M318" si="73">SUM(C319:C325)</f>
        <v>847</v>
      </c>
      <c r="D318" s="193">
        <f t="shared" si="73"/>
        <v>20</v>
      </c>
      <c r="E318" s="193">
        <f t="shared" si="73"/>
        <v>0</v>
      </c>
      <c r="F318" s="193">
        <f t="shared" si="73"/>
        <v>3</v>
      </c>
      <c r="G318" s="193">
        <f t="shared" si="73"/>
        <v>44</v>
      </c>
      <c r="H318" s="193">
        <f t="shared" si="73"/>
        <v>1</v>
      </c>
      <c r="I318" s="193">
        <f t="shared" si="73"/>
        <v>0</v>
      </c>
      <c r="J318" s="193">
        <f t="shared" si="73"/>
        <v>3</v>
      </c>
      <c r="K318" s="193">
        <f t="shared" si="73"/>
        <v>0</v>
      </c>
      <c r="L318" s="193">
        <f t="shared" si="73"/>
        <v>41</v>
      </c>
      <c r="M318" s="193">
        <f t="shared" si="73"/>
        <v>3</v>
      </c>
    </row>
    <row r="319" spans="1:13" s="211" customFormat="1" ht="17.100000000000001" customHeight="1">
      <c r="A319" s="210" t="s">
        <v>72</v>
      </c>
      <c r="B319" s="206">
        <v>1</v>
      </c>
      <c r="C319" s="206">
        <v>110</v>
      </c>
      <c r="D319" s="206">
        <v>3</v>
      </c>
      <c r="E319" s="206">
        <v>0</v>
      </c>
      <c r="F319" s="206">
        <v>1</v>
      </c>
      <c r="G319" s="206">
        <v>10</v>
      </c>
      <c r="H319" s="206">
        <v>0</v>
      </c>
      <c r="I319" s="206">
        <v>0</v>
      </c>
      <c r="J319" s="206">
        <v>0</v>
      </c>
      <c r="K319" s="206">
        <v>0</v>
      </c>
      <c r="L319" s="206">
        <v>11</v>
      </c>
      <c r="M319" s="206">
        <v>1</v>
      </c>
    </row>
    <row r="320" spans="1:13" s="211" customFormat="1" ht="17.100000000000001" customHeight="1">
      <c r="A320" s="210" t="s">
        <v>234</v>
      </c>
      <c r="B320" s="206">
        <v>4</v>
      </c>
      <c r="C320" s="206">
        <v>537</v>
      </c>
      <c r="D320" s="206">
        <v>5</v>
      </c>
      <c r="E320" s="206">
        <v>0</v>
      </c>
      <c r="F320" s="206">
        <v>0</v>
      </c>
      <c r="G320" s="206">
        <v>0</v>
      </c>
      <c r="H320" s="206">
        <v>1</v>
      </c>
      <c r="I320" s="206">
        <v>0</v>
      </c>
      <c r="J320" s="206">
        <v>2</v>
      </c>
      <c r="K320" s="206">
        <v>0</v>
      </c>
      <c r="L320" s="206">
        <v>6</v>
      </c>
      <c r="M320" s="206">
        <v>0</v>
      </c>
    </row>
    <row r="321" spans="1:13" s="211" customFormat="1" ht="17.100000000000001" customHeight="1">
      <c r="A321" s="210" t="s">
        <v>235</v>
      </c>
      <c r="B321" s="206">
        <v>2</v>
      </c>
      <c r="C321" s="206">
        <v>80</v>
      </c>
      <c r="D321" s="206">
        <v>5</v>
      </c>
      <c r="E321" s="206">
        <v>0</v>
      </c>
      <c r="F321" s="206">
        <v>0</v>
      </c>
      <c r="G321" s="206">
        <v>0</v>
      </c>
      <c r="H321" s="206">
        <v>0</v>
      </c>
      <c r="I321" s="206">
        <v>0</v>
      </c>
      <c r="J321" s="206">
        <v>0</v>
      </c>
      <c r="K321" s="206">
        <v>0</v>
      </c>
      <c r="L321" s="206">
        <v>5</v>
      </c>
      <c r="M321" s="206">
        <v>0</v>
      </c>
    </row>
    <row r="322" spans="1:13" s="211" customFormat="1" ht="17.100000000000001" customHeight="1">
      <c r="A322" s="210" t="s">
        <v>236</v>
      </c>
      <c r="B322" s="206">
        <v>1</v>
      </c>
      <c r="C322" s="206">
        <v>40</v>
      </c>
      <c r="D322" s="206">
        <v>3</v>
      </c>
      <c r="E322" s="206">
        <v>0</v>
      </c>
      <c r="F322" s="206">
        <v>1</v>
      </c>
      <c r="G322" s="206">
        <v>10</v>
      </c>
      <c r="H322" s="206">
        <v>0</v>
      </c>
      <c r="I322" s="206">
        <v>0</v>
      </c>
      <c r="J322" s="206">
        <v>0</v>
      </c>
      <c r="K322" s="206">
        <v>0</v>
      </c>
      <c r="L322" s="206">
        <v>3</v>
      </c>
      <c r="M322" s="206">
        <v>0</v>
      </c>
    </row>
    <row r="323" spans="1:13" s="211" customFormat="1" ht="17.100000000000001" customHeight="1">
      <c r="A323" s="210" t="s">
        <v>237</v>
      </c>
      <c r="B323" s="206">
        <v>0</v>
      </c>
      <c r="C323" s="206">
        <v>0</v>
      </c>
      <c r="D323" s="206">
        <v>2</v>
      </c>
      <c r="E323" s="206">
        <v>0</v>
      </c>
      <c r="F323" s="206">
        <v>0</v>
      </c>
      <c r="G323" s="206">
        <v>0</v>
      </c>
      <c r="H323" s="206">
        <v>0</v>
      </c>
      <c r="I323" s="206">
        <v>0</v>
      </c>
      <c r="J323" s="206">
        <v>0</v>
      </c>
      <c r="K323" s="206">
        <v>0</v>
      </c>
      <c r="L323" s="206">
        <v>3</v>
      </c>
      <c r="M323" s="206">
        <v>0</v>
      </c>
    </row>
    <row r="324" spans="1:13" s="211" customFormat="1" ht="17.100000000000001" customHeight="1">
      <c r="A324" s="210" t="s">
        <v>238</v>
      </c>
      <c r="B324" s="206">
        <v>1</v>
      </c>
      <c r="C324" s="206">
        <v>40</v>
      </c>
      <c r="D324" s="206">
        <v>2</v>
      </c>
      <c r="E324" s="206">
        <v>0</v>
      </c>
      <c r="F324" s="206">
        <v>1</v>
      </c>
      <c r="G324" s="206">
        <v>24</v>
      </c>
      <c r="H324" s="206">
        <v>0</v>
      </c>
      <c r="I324" s="206">
        <v>0</v>
      </c>
      <c r="J324" s="206">
        <v>1</v>
      </c>
      <c r="K324" s="206">
        <v>0</v>
      </c>
      <c r="L324" s="206">
        <v>8</v>
      </c>
      <c r="M324" s="206">
        <v>1</v>
      </c>
    </row>
    <row r="325" spans="1:13" s="211" customFormat="1" ht="17.100000000000001" customHeight="1">
      <c r="A325" s="210" t="s">
        <v>239</v>
      </c>
      <c r="B325" s="206">
        <v>1</v>
      </c>
      <c r="C325" s="206">
        <v>40</v>
      </c>
      <c r="D325" s="206">
        <v>0</v>
      </c>
      <c r="E325" s="206">
        <v>0</v>
      </c>
      <c r="F325" s="206">
        <v>0</v>
      </c>
      <c r="G325" s="206">
        <v>0</v>
      </c>
      <c r="H325" s="206">
        <v>0</v>
      </c>
      <c r="I325" s="206">
        <v>0</v>
      </c>
      <c r="J325" s="206">
        <v>0</v>
      </c>
      <c r="K325" s="206">
        <v>0</v>
      </c>
      <c r="L325" s="206">
        <v>5</v>
      </c>
      <c r="M325" s="206">
        <v>1</v>
      </c>
    </row>
    <row r="326" spans="1:13" s="182" customFormat="1" ht="17.100000000000001" customHeight="1">
      <c r="A326" s="186" t="s">
        <v>50</v>
      </c>
      <c r="B326" s="193">
        <f t="shared" ref="B326:M326" si="74">SUM(B327)</f>
        <v>5</v>
      </c>
      <c r="C326" s="193">
        <f t="shared" si="74"/>
        <v>198</v>
      </c>
      <c r="D326" s="193">
        <f t="shared" si="74"/>
        <v>48</v>
      </c>
      <c r="E326" s="193">
        <f t="shared" si="74"/>
        <v>0</v>
      </c>
      <c r="F326" s="193">
        <f t="shared" si="74"/>
        <v>3</v>
      </c>
      <c r="G326" s="193">
        <f t="shared" si="74"/>
        <v>54</v>
      </c>
      <c r="H326" s="193">
        <f t="shared" si="74"/>
        <v>4</v>
      </c>
      <c r="I326" s="193">
        <f t="shared" si="74"/>
        <v>0</v>
      </c>
      <c r="J326" s="193">
        <f t="shared" si="74"/>
        <v>1</v>
      </c>
      <c r="K326" s="193">
        <f t="shared" si="74"/>
        <v>2</v>
      </c>
      <c r="L326" s="193">
        <f t="shared" si="74"/>
        <v>23</v>
      </c>
      <c r="M326" s="193">
        <f t="shared" si="74"/>
        <v>0</v>
      </c>
    </row>
    <row r="327" spans="1:13" s="182" customFormat="1" ht="17.100000000000001" customHeight="1">
      <c r="A327" s="187" t="s">
        <v>51</v>
      </c>
      <c r="B327" s="194">
        <v>5</v>
      </c>
      <c r="C327" s="194">
        <v>198</v>
      </c>
      <c r="D327" s="194">
        <v>48</v>
      </c>
      <c r="E327" s="194">
        <v>0</v>
      </c>
      <c r="F327" s="194">
        <v>3</v>
      </c>
      <c r="G327" s="194">
        <v>54</v>
      </c>
      <c r="H327" s="194">
        <v>4</v>
      </c>
      <c r="I327" s="194">
        <v>0</v>
      </c>
      <c r="J327" s="194">
        <v>1</v>
      </c>
      <c r="K327" s="194">
        <v>2</v>
      </c>
      <c r="L327" s="194">
        <v>23</v>
      </c>
      <c r="M327" s="194">
        <v>0</v>
      </c>
    </row>
    <row r="328" spans="1:13" s="182" customFormat="1" ht="17.100000000000001" customHeight="1">
      <c r="A328" s="209" t="s">
        <v>204</v>
      </c>
      <c r="B328" s="199">
        <v>0</v>
      </c>
      <c r="C328" s="199">
        <v>0</v>
      </c>
      <c r="D328" s="199">
        <v>0</v>
      </c>
      <c r="E328" s="199">
        <v>0</v>
      </c>
      <c r="F328" s="199">
        <v>0</v>
      </c>
      <c r="G328" s="199">
        <v>0</v>
      </c>
      <c r="H328" s="199">
        <v>0</v>
      </c>
      <c r="I328" s="199">
        <v>0</v>
      </c>
      <c r="J328" s="199">
        <v>0</v>
      </c>
      <c r="K328" s="199">
        <v>0</v>
      </c>
      <c r="L328" s="199">
        <v>10</v>
      </c>
      <c r="M328" s="199">
        <v>0</v>
      </c>
    </row>
    <row r="329" spans="1:13" s="182" customFormat="1" ht="12.75">
      <c r="A329" s="212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</row>
    <row r="330" spans="1:13">
      <c r="A330" s="26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214" t="s">
        <v>165</v>
      </c>
    </row>
  </sheetData>
  <mergeCells count="99">
    <mergeCell ref="K292:K293"/>
    <mergeCell ref="L292:L293"/>
    <mergeCell ref="M292:M293"/>
    <mergeCell ref="A292:A293"/>
    <mergeCell ref="B292:C292"/>
    <mergeCell ref="D292:E292"/>
    <mergeCell ref="F292:G292"/>
    <mergeCell ref="H292:I292"/>
    <mergeCell ref="J292:J293"/>
    <mergeCell ref="J253:J254"/>
    <mergeCell ref="K253:K254"/>
    <mergeCell ref="L253:L254"/>
    <mergeCell ref="M253:M254"/>
    <mergeCell ref="A290:M290"/>
    <mergeCell ref="L291:M291"/>
    <mergeCell ref="K212:K213"/>
    <mergeCell ref="L212:L213"/>
    <mergeCell ref="M212:M213"/>
    <mergeCell ref="A251:M251"/>
    <mergeCell ref="L252:M252"/>
    <mergeCell ref="A253:A254"/>
    <mergeCell ref="B253:C253"/>
    <mergeCell ref="D253:E253"/>
    <mergeCell ref="F253:G253"/>
    <mergeCell ref="H253:I253"/>
    <mergeCell ref="A212:A213"/>
    <mergeCell ref="B212:C212"/>
    <mergeCell ref="D212:E212"/>
    <mergeCell ref="F212:G212"/>
    <mergeCell ref="H212:I212"/>
    <mergeCell ref="J212:J213"/>
    <mergeCell ref="J179:J180"/>
    <mergeCell ref="K179:K180"/>
    <mergeCell ref="L179:L180"/>
    <mergeCell ref="M179:M180"/>
    <mergeCell ref="A210:M210"/>
    <mergeCell ref="L211:M211"/>
    <mergeCell ref="A179:A180"/>
    <mergeCell ref="B179:C179"/>
    <mergeCell ref="D179:E179"/>
    <mergeCell ref="F179:G179"/>
    <mergeCell ref="H179:I179"/>
    <mergeCell ref="K142:K143"/>
    <mergeCell ref="L142:L143"/>
    <mergeCell ref="M142:M143"/>
    <mergeCell ref="A177:M177"/>
    <mergeCell ref="L178:M178"/>
    <mergeCell ref="A142:A143"/>
    <mergeCell ref="B142:C142"/>
    <mergeCell ref="D142:E142"/>
    <mergeCell ref="F142:G142"/>
    <mergeCell ref="H142:I142"/>
    <mergeCell ref="J142:J143"/>
    <mergeCell ref="L141:M141"/>
    <mergeCell ref="K78:K79"/>
    <mergeCell ref="L78:L79"/>
    <mergeCell ref="M78:M79"/>
    <mergeCell ref="A105:M105"/>
    <mergeCell ref="L106:M106"/>
    <mergeCell ref="A107:A108"/>
    <mergeCell ref="B107:C107"/>
    <mergeCell ref="D107:E107"/>
    <mergeCell ref="F107:G107"/>
    <mergeCell ref="H107:I107"/>
    <mergeCell ref="J107:J108"/>
    <mergeCell ref="K107:K108"/>
    <mergeCell ref="L107:L108"/>
    <mergeCell ref="M107:M108"/>
    <mergeCell ref="A140:M140"/>
    <mergeCell ref="A76:M76"/>
    <mergeCell ref="L77:M77"/>
    <mergeCell ref="A78:A79"/>
    <mergeCell ref="B78:C78"/>
    <mergeCell ref="D78:E78"/>
    <mergeCell ref="F78:G78"/>
    <mergeCell ref="H78:I78"/>
    <mergeCell ref="J78:J79"/>
    <mergeCell ref="A39:M39"/>
    <mergeCell ref="L40:M40"/>
    <mergeCell ref="A41:A42"/>
    <mergeCell ref="B41:C41"/>
    <mergeCell ref="D41:E41"/>
    <mergeCell ref="F41:G41"/>
    <mergeCell ref="H41:I41"/>
    <mergeCell ref="J41:J42"/>
    <mergeCell ref="K41:K42"/>
    <mergeCell ref="L41:L42"/>
    <mergeCell ref="M41:M42"/>
    <mergeCell ref="A1:M1"/>
    <mergeCell ref="L2:M2"/>
    <mergeCell ref="A3:A4"/>
    <mergeCell ref="B3:C3"/>
    <mergeCell ref="D3:E3"/>
    <mergeCell ref="F3:G3"/>
    <mergeCell ref="H3:I3"/>
    <mergeCell ref="J3:J4"/>
    <mergeCell ref="K3:K4"/>
    <mergeCell ref="L3:L4"/>
    <mergeCell ref="M3:M4"/>
  </mergeCells>
  <printOptions horizontalCentered="1"/>
  <pageMargins left="0.74803149606299202" right="0.70866141732283505" top="0.98425196850393704" bottom="0.5" header="0.43307086614173201" footer="0.511811023622047"/>
  <pageSetup paperSize="9" firstPageNumber="147" orientation="portrait" r:id="rId1"/>
  <headerFooter alignWithMargins="0">
    <oddHeader>&amp;C&amp;P</oddHeader>
  </headerFooter>
  <rowBreaks count="5" manualBreakCount="5">
    <brk id="104" max="12" man="1"/>
    <brk id="139" max="12" man="1"/>
    <brk id="209" max="12" man="1"/>
    <brk id="250" max="12" man="1"/>
    <brk id="28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26"/>
  <sheetViews>
    <sheetView view="pageBreakPreview" zoomScaleSheetLayoutView="100" workbookViewId="0">
      <selection activeCell="I12" sqref="I12"/>
    </sheetView>
  </sheetViews>
  <sheetFormatPr defaultColWidth="9.140625" defaultRowHeight="12.75"/>
  <cols>
    <col min="1" max="1" width="18" style="232" customWidth="1"/>
    <col min="2" max="7" width="10.7109375" style="232" customWidth="1"/>
    <col min="8" max="16384" width="9.140625" style="20"/>
  </cols>
  <sheetData>
    <row r="1" spans="1:7" s="122" customFormat="1" ht="60" customHeight="1">
      <c r="A1" s="270" t="s">
        <v>283</v>
      </c>
      <c r="B1" s="270"/>
      <c r="C1" s="270"/>
      <c r="D1" s="270"/>
      <c r="E1" s="270"/>
      <c r="F1" s="270"/>
      <c r="G1" s="270"/>
    </row>
    <row r="2" spans="1:7" s="211" customFormat="1" ht="12.75" customHeight="1">
      <c r="A2" s="56" t="s">
        <v>277</v>
      </c>
      <c r="B2" s="251"/>
      <c r="C2" s="251"/>
      <c r="D2" s="252" t="s">
        <v>177</v>
      </c>
      <c r="E2" s="251"/>
      <c r="F2" s="251"/>
      <c r="G2" s="58" t="s">
        <v>89</v>
      </c>
    </row>
    <row r="3" spans="1:7" s="122" customFormat="1" ht="20.100000000000001" customHeight="1">
      <c r="A3" s="267" t="s">
        <v>7</v>
      </c>
      <c r="B3" s="268" t="s">
        <v>103</v>
      </c>
      <c r="C3" s="269"/>
      <c r="D3" s="267" t="s">
        <v>134</v>
      </c>
      <c r="E3" s="267"/>
      <c r="F3" s="267" t="s">
        <v>135</v>
      </c>
      <c r="G3" s="267"/>
    </row>
    <row r="4" spans="1:7" s="122" customFormat="1" ht="20.100000000000001" customHeight="1">
      <c r="A4" s="267"/>
      <c r="B4" s="217" t="s">
        <v>2</v>
      </c>
      <c r="C4" s="217" t="s">
        <v>3</v>
      </c>
      <c r="D4" s="217" t="s">
        <v>2</v>
      </c>
      <c r="E4" s="217" t="s">
        <v>3</v>
      </c>
      <c r="F4" s="217" t="s">
        <v>2</v>
      </c>
      <c r="G4" s="217" t="s">
        <v>3</v>
      </c>
    </row>
    <row r="5" spans="1:7" s="122" customFormat="1" ht="25.5" customHeight="1">
      <c r="A5" s="218" t="s">
        <v>137</v>
      </c>
      <c r="B5" s="219">
        <f>SUM(D5+F5)</f>
        <v>283</v>
      </c>
      <c r="C5" s="219">
        <f>SUM(E5+G5)</f>
        <v>21072</v>
      </c>
      <c r="D5" s="219">
        <f>SUM(D6,D8,D10,D13,D16,D19,D27,D31,D34,D42,D46,D48,D52,D54,D58,D61,D66,D69,D71,D78,D84,D87,D90,D92,D95:D101)</f>
        <v>211</v>
      </c>
      <c r="E5" s="219">
        <f>SUM(E6,E8,E10,E13,E16,E19,E27,E31,E34,E42,E46,E48,E52,E54,E58,E61,E66,E69,E71,E78,E84,E87,E90,E92,E95:E101)</f>
        <v>19692</v>
      </c>
      <c r="F5" s="219">
        <f>SUM(F6,F8,F10,F13,F16,F19,F27,F31,F34,F42,F46,F48,F52,F54,F58,F61,F66,F69,F71,F78,F84,F87,F90,F92,F95:F101)</f>
        <v>72</v>
      </c>
      <c r="G5" s="219">
        <f>SUM(G6,G8,G10,G13,G16,G19,G27,G31,G34,G42,G46,G48,G52,G54,G58,G61,G66,G69,G71,G78,G84,G87,G90,G92,G95:G101)</f>
        <v>1380</v>
      </c>
    </row>
    <row r="6" spans="1:7" s="122" customFormat="1" ht="18.600000000000001" customHeight="1">
      <c r="A6" s="220" t="s">
        <v>33</v>
      </c>
      <c r="B6" s="219">
        <f>SUM(D6+F6)</f>
        <v>11</v>
      </c>
      <c r="C6" s="219">
        <f>SUM(E6+G6)</f>
        <v>1410</v>
      </c>
      <c r="D6" s="219">
        <f>SUM(D7)</f>
        <v>11</v>
      </c>
      <c r="E6" s="219">
        <f>SUM(E7)</f>
        <v>1410</v>
      </c>
      <c r="F6" s="219">
        <f>SUM(F7)</f>
        <v>0</v>
      </c>
      <c r="G6" s="219">
        <f>SUM(G7)</f>
        <v>0</v>
      </c>
    </row>
    <row r="7" spans="1:7" s="122" customFormat="1" ht="18.600000000000001" customHeight="1">
      <c r="A7" s="221" t="s">
        <v>34</v>
      </c>
      <c r="B7" s="222">
        <v>11</v>
      </c>
      <c r="C7" s="222">
        <v>1410</v>
      </c>
      <c r="D7" s="222">
        <v>11</v>
      </c>
      <c r="E7" s="222">
        <v>1410</v>
      </c>
      <c r="F7" s="223">
        <v>0</v>
      </c>
      <c r="G7" s="223">
        <v>0</v>
      </c>
    </row>
    <row r="8" spans="1:7" s="122" customFormat="1" ht="18.600000000000001" customHeight="1">
      <c r="A8" s="220" t="s">
        <v>52</v>
      </c>
      <c r="B8" s="219">
        <f>SUM(D8+F8)</f>
        <v>8</v>
      </c>
      <c r="C8" s="219">
        <f>SUM(E8+G8)</f>
        <v>848</v>
      </c>
      <c r="D8" s="219">
        <f>SUM(D9)</f>
        <v>7</v>
      </c>
      <c r="E8" s="219">
        <f>SUM(E9)</f>
        <v>698</v>
      </c>
      <c r="F8" s="219">
        <f>SUM(F9)</f>
        <v>1</v>
      </c>
      <c r="G8" s="219">
        <f>SUM(G9)</f>
        <v>150</v>
      </c>
    </row>
    <row r="9" spans="1:7" s="122" customFormat="1" ht="18.600000000000001" customHeight="1">
      <c r="A9" s="221" t="s">
        <v>53</v>
      </c>
      <c r="B9" s="222">
        <f t="shared" ref="B9:C9" si="0">SUM(D9+F9)</f>
        <v>8</v>
      </c>
      <c r="C9" s="222">
        <f t="shared" si="0"/>
        <v>848</v>
      </c>
      <c r="D9" s="222">
        <v>7</v>
      </c>
      <c r="E9" s="222">
        <v>698</v>
      </c>
      <c r="F9" s="223">
        <v>1</v>
      </c>
      <c r="G9" s="223">
        <v>150</v>
      </c>
    </row>
    <row r="10" spans="1:7" s="122" customFormat="1" ht="18.600000000000001" customHeight="1">
      <c r="A10" s="220" t="s">
        <v>43</v>
      </c>
      <c r="B10" s="219">
        <f>SUM(D10+F10)</f>
        <v>7</v>
      </c>
      <c r="C10" s="219">
        <f>SUM(E10+G10)</f>
        <v>214</v>
      </c>
      <c r="D10" s="219">
        <f>SUM(D11:D12)</f>
        <v>2</v>
      </c>
      <c r="E10" s="219">
        <f>SUM(E11:E12)</f>
        <v>174</v>
      </c>
      <c r="F10" s="219">
        <f>SUM(F11:F12)</f>
        <v>5</v>
      </c>
      <c r="G10" s="219">
        <f>SUM(G11:G12)</f>
        <v>40</v>
      </c>
    </row>
    <row r="11" spans="1:7" s="122" customFormat="1" ht="18.600000000000001" customHeight="1">
      <c r="A11" s="221" t="s">
        <v>45</v>
      </c>
      <c r="B11" s="222">
        <v>1</v>
      </c>
      <c r="C11" s="222">
        <v>40</v>
      </c>
      <c r="D11" s="222">
        <v>1</v>
      </c>
      <c r="E11" s="222">
        <v>40</v>
      </c>
      <c r="F11" s="222">
        <v>0</v>
      </c>
      <c r="G11" s="222">
        <v>0</v>
      </c>
    </row>
    <row r="12" spans="1:7" s="122" customFormat="1" ht="18.600000000000001" customHeight="1">
      <c r="A12" s="221" t="s">
        <v>44</v>
      </c>
      <c r="B12" s="222">
        <v>6</v>
      </c>
      <c r="C12" s="222">
        <v>174</v>
      </c>
      <c r="D12" s="222">
        <v>1</v>
      </c>
      <c r="E12" s="222">
        <v>134</v>
      </c>
      <c r="F12" s="222">
        <v>5</v>
      </c>
      <c r="G12" s="222">
        <v>40</v>
      </c>
    </row>
    <row r="13" spans="1:7" s="122" customFormat="1" ht="18.600000000000001" customHeight="1">
      <c r="A13" s="220" t="s">
        <v>79</v>
      </c>
      <c r="B13" s="219">
        <f>SUM(D13+F13)</f>
        <v>4</v>
      </c>
      <c r="C13" s="219">
        <f>SUM(E13+G13)</f>
        <v>303</v>
      </c>
      <c r="D13" s="219">
        <f>SUM(D14:D15)</f>
        <v>4</v>
      </c>
      <c r="E13" s="219">
        <f>SUM(E14:E15)</f>
        <v>303</v>
      </c>
      <c r="F13" s="219">
        <f>SUM(F14:F15)</f>
        <v>0</v>
      </c>
      <c r="G13" s="219">
        <f>SUM(G14:G15)</f>
        <v>0</v>
      </c>
    </row>
    <row r="14" spans="1:7" s="122" customFormat="1" ht="18.600000000000001" customHeight="1">
      <c r="A14" s="221" t="s">
        <v>80</v>
      </c>
      <c r="B14" s="222">
        <v>3</v>
      </c>
      <c r="C14" s="222">
        <v>278</v>
      </c>
      <c r="D14" s="222">
        <v>3</v>
      </c>
      <c r="E14" s="222">
        <v>278</v>
      </c>
      <c r="F14" s="222">
        <v>0</v>
      </c>
      <c r="G14" s="222">
        <v>0</v>
      </c>
    </row>
    <row r="15" spans="1:7" s="122" customFormat="1" ht="18.600000000000001" customHeight="1">
      <c r="A15" s="221" t="s">
        <v>130</v>
      </c>
      <c r="B15" s="222">
        <v>1</v>
      </c>
      <c r="C15" s="222">
        <v>25</v>
      </c>
      <c r="D15" s="222">
        <v>1</v>
      </c>
      <c r="E15" s="222">
        <v>25</v>
      </c>
      <c r="F15" s="222">
        <v>0</v>
      </c>
      <c r="G15" s="222">
        <v>0</v>
      </c>
    </row>
    <row r="16" spans="1:7" s="122" customFormat="1" ht="18.600000000000001" customHeight="1">
      <c r="A16" s="220" t="s">
        <v>16</v>
      </c>
      <c r="B16" s="219">
        <f>SUM(D16+F16)</f>
        <v>4</v>
      </c>
      <c r="C16" s="219">
        <f>SUM(E16+G16)</f>
        <v>440</v>
      </c>
      <c r="D16" s="219">
        <f>SUM(D17:D18)</f>
        <v>4</v>
      </c>
      <c r="E16" s="219">
        <f>SUM(E17:E18)</f>
        <v>440</v>
      </c>
      <c r="F16" s="219">
        <f>SUM(F17:F18)</f>
        <v>0</v>
      </c>
      <c r="G16" s="219">
        <f>SUM(G17:G18)</f>
        <v>0</v>
      </c>
    </row>
    <row r="17" spans="1:7" s="122" customFormat="1" ht="18.600000000000001" customHeight="1">
      <c r="A17" s="221" t="s">
        <v>17</v>
      </c>
      <c r="B17" s="222">
        <v>3</v>
      </c>
      <c r="C17" s="222">
        <v>360</v>
      </c>
      <c r="D17" s="222">
        <v>3</v>
      </c>
      <c r="E17" s="222">
        <v>360</v>
      </c>
      <c r="F17" s="222">
        <v>0</v>
      </c>
      <c r="G17" s="222">
        <v>0</v>
      </c>
    </row>
    <row r="18" spans="1:7" s="122" customFormat="1" ht="18.600000000000001" customHeight="1">
      <c r="A18" s="221" t="s">
        <v>18</v>
      </c>
      <c r="B18" s="222">
        <v>1</v>
      </c>
      <c r="C18" s="222">
        <v>80</v>
      </c>
      <c r="D18" s="222">
        <v>1</v>
      </c>
      <c r="E18" s="222">
        <v>80</v>
      </c>
      <c r="F18" s="222">
        <v>0</v>
      </c>
      <c r="G18" s="222">
        <v>0</v>
      </c>
    </row>
    <row r="19" spans="1:7" s="122" customFormat="1" ht="18.600000000000001" customHeight="1">
      <c r="A19" s="220" t="s">
        <v>60</v>
      </c>
      <c r="B19" s="219">
        <f>SUM(D19+F19)</f>
        <v>4</v>
      </c>
      <c r="C19" s="219">
        <f>SUM(E19+G19)</f>
        <v>306</v>
      </c>
      <c r="D19" s="219">
        <f>SUM(D20:D26)</f>
        <v>4</v>
      </c>
      <c r="E19" s="219">
        <f>SUM(E20:E26)</f>
        <v>306</v>
      </c>
      <c r="F19" s="219">
        <f>SUM(F20:F26)</f>
        <v>0</v>
      </c>
      <c r="G19" s="219">
        <f>SUM(G20:G26)</f>
        <v>0</v>
      </c>
    </row>
    <row r="20" spans="1:7" s="122" customFormat="1" ht="18.600000000000001" customHeight="1">
      <c r="A20" s="221" t="s">
        <v>61</v>
      </c>
      <c r="B20" s="222">
        <v>2</v>
      </c>
      <c r="C20" s="222">
        <v>226</v>
      </c>
      <c r="D20" s="222">
        <v>2</v>
      </c>
      <c r="E20" s="222">
        <v>226</v>
      </c>
      <c r="F20" s="222">
        <v>0</v>
      </c>
      <c r="G20" s="222">
        <v>0</v>
      </c>
    </row>
    <row r="21" spans="1:7" s="122" customFormat="1" ht="18.600000000000001" customHeight="1">
      <c r="A21" s="221" t="s">
        <v>85</v>
      </c>
      <c r="B21" s="222">
        <v>1</v>
      </c>
      <c r="C21" s="222">
        <v>46</v>
      </c>
      <c r="D21" s="222">
        <v>1</v>
      </c>
      <c r="E21" s="222">
        <v>46</v>
      </c>
      <c r="F21" s="222">
        <v>0</v>
      </c>
      <c r="G21" s="222">
        <v>0</v>
      </c>
    </row>
    <row r="22" spans="1:7" s="122" customFormat="1" ht="18.600000000000001" customHeight="1">
      <c r="A22" s="221" t="s">
        <v>84</v>
      </c>
      <c r="B22" s="222">
        <v>0</v>
      </c>
      <c r="C22" s="222">
        <v>0</v>
      </c>
      <c r="D22" s="222">
        <v>0</v>
      </c>
      <c r="E22" s="222">
        <v>0</v>
      </c>
      <c r="F22" s="222">
        <v>0</v>
      </c>
      <c r="G22" s="222">
        <v>0</v>
      </c>
    </row>
    <row r="23" spans="1:7" s="122" customFormat="1" ht="18.600000000000001" customHeight="1">
      <c r="A23" s="221" t="s">
        <v>62</v>
      </c>
      <c r="B23" s="222">
        <v>1</v>
      </c>
      <c r="C23" s="222">
        <v>34</v>
      </c>
      <c r="D23" s="222">
        <v>1</v>
      </c>
      <c r="E23" s="222">
        <v>34</v>
      </c>
      <c r="F23" s="222">
        <v>0</v>
      </c>
      <c r="G23" s="222">
        <v>0</v>
      </c>
    </row>
    <row r="24" spans="1:7" s="122" customFormat="1" ht="18.600000000000001" customHeight="1">
      <c r="A24" s="221" t="s">
        <v>88</v>
      </c>
      <c r="B24" s="222">
        <v>0</v>
      </c>
      <c r="C24" s="222">
        <v>0</v>
      </c>
      <c r="D24" s="222">
        <v>0</v>
      </c>
      <c r="E24" s="222">
        <v>0</v>
      </c>
      <c r="F24" s="222">
        <v>0</v>
      </c>
      <c r="G24" s="222">
        <v>0</v>
      </c>
    </row>
    <row r="25" spans="1:7" s="122" customFormat="1" ht="18.600000000000001" customHeight="1">
      <c r="A25" s="221" t="s">
        <v>86</v>
      </c>
      <c r="B25" s="222">
        <v>0</v>
      </c>
      <c r="C25" s="222">
        <v>0</v>
      </c>
      <c r="D25" s="222">
        <v>0</v>
      </c>
      <c r="E25" s="222">
        <v>0</v>
      </c>
      <c r="F25" s="222">
        <v>0</v>
      </c>
      <c r="G25" s="222">
        <v>0</v>
      </c>
    </row>
    <row r="26" spans="1:7" s="122" customFormat="1" ht="18.600000000000001" customHeight="1">
      <c r="A26" s="221" t="s">
        <v>87</v>
      </c>
      <c r="B26" s="222">
        <v>0</v>
      </c>
      <c r="C26" s="222">
        <v>0</v>
      </c>
      <c r="D26" s="222">
        <v>0</v>
      </c>
      <c r="E26" s="222">
        <v>0</v>
      </c>
      <c r="F26" s="222">
        <v>0</v>
      </c>
      <c r="G26" s="222">
        <v>0</v>
      </c>
    </row>
    <row r="27" spans="1:7" s="122" customFormat="1" ht="18.600000000000001" customHeight="1">
      <c r="A27" s="220" t="s">
        <v>56</v>
      </c>
      <c r="B27" s="219">
        <f>SUM(D27+F27)</f>
        <v>12</v>
      </c>
      <c r="C27" s="219">
        <f>SUM(E27+G27)</f>
        <v>673</v>
      </c>
      <c r="D27" s="219">
        <f>SUM(D28:D30)</f>
        <v>12</v>
      </c>
      <c r="E27" s="219">
        <f>SUM(E28:E30)</f>
        <v>673</v>
      </c>
      <c r="F27" s="219">
        <f>SUM(F28:F30)</f>
        <v>0</v>
      </c>
      <c r="G27" s="219">
        <f>SUM(G28:G30)</f>
        <v>0</v>
      </c>
    </row>
    <row r="28" spans="1:7" s="122" customFormat="1" ht="18.600000000000001" customHeight="1">
      <c r="A28" s="221" t="s">
        <v>57</v>
      </c>
      <c r="B28" s="222">
        <f t="shared" ref="B28:C30" si="1">SUM(D28,F28)</f>
        <v>8</v>
      </c>
      <c r="C28" s="222">
        <f>SUM(E28,G28)</f>
        <v>513</v>
      </c>
      <c r="D28" s="222">
        <v>8</v>
      </c>
      <c r="E28" s="222">
        <v>513</v>
      </c>
      <c r="F28" s="222">
        <v>0</v>
      </c>
      <c r="G28" s="222">
        <v>0</v>
      </c>
    </row>
    <row r="29" spans="1:7" s="122" customFormat="1" ht="18.600000000000001" customHeight="1">
      <c r="A29" s="221" t="s">
        <v>59</v>
      </c>
      <c r="B29" s="222">
        <f t="shared" si="1"/>
        <v>1</v>
      </c>
      <c r="C29" s="222">
        <f t="shared" si="1"/>
        <v>40</v>
      </c>
      <c r="D29" s="222">
        <v>1</v>
      </c>
      <c r="E29" s="222">
        <v>40</v>
      </c>
      <c r="F29" s="222">
        <v>0</v>
      </c>
      <c r="G29" s="222">
        <v>0</v>
      </c>
    </row>
    <row r="30" spans="1:7" s="122" customFormat="1" ht="18.600000000000001" customHeight="1">
      <c r="A30" s="221" t="s">
        <v>58</v>
      </c>
      <c r="B30" s="222">
        <f t="shared" si="1"/>
        <v>3</v>
      </c>
      <c r="C30" s="222">
        <f t="shared" si="1"/>
        <v>120</v>
      </c>
      <c r="D30" s="222">
        <v>3</v>
      </c>
      <c r="E30" s="222">
        <v>120</v>
      </c>
      <c r="F30" s="222">
        <v>0</v>
      </c>
      <c r="G30" s="222">
        <v>0</v>
      </c>
    </row>
    <row r="31" spans="1:7" s="122" customFormat="1" ht="18.600000000000001" customHeight="1">
      <c r="A31" s="220" t="s">
        <v>27</v>
      </c>
      <c r="B31" s="219">
        <f>SUM(D31+F31)</f>
        <v>9</v>
      </c>
      <c r="C31" s="219">
        <f>SUM(E31+G31)</f>
        <v>321</v>
      </c>
      <c r="D31" s="219">
        <f>SUM(D32:D33)</f>
        <v>6</v>
      </c>
      <c r="E31" s="219">
        <f>SUM(E32:E33)</f>
        <v>266</v>
      </c>
      <c r="F31" s="219">
        <f>SUM(F32:F35)</f>
        <v>3</v>
      </c>
      <c r="G31" s="219">
        <f>SUM(G32:G35)</f>
        <v>55</v>
      </c>
    </row>
    <row r="32" spans="1:7" s="122" customFormat="1" ht="18.600000000000001" customHeight="1">
      <c r="A32" s="221" t="s">
        <v>28</v>
      </c>
      <c r="B32" s="222">
        <v>7</v>
      </c>
      <c r="C32" s="222">
        <v>241</v>
      </c>
      <c r="D32" s="222">
        <v>4</v>
      </c>
      <c r="E32" s="222">
        <v>186</v>
      </c>
      <c r="F32" s="222">
        <v>3</v>
      </c>
      <c r="G32" s="222">
        <v>55</v>
      </c>
    </row>
    <row r="33" spans="1:7" s="122" customFormat="1" ht="18.600000000000001" customHeight="1">
      <c r="A33" s="224" t="s">
        <v>196</v>
      </c>
      <c r="B33" s="222">
        <v>2</v>
      </c>
      <c r="C33" s="219">
        <v>80</v>
      </c>
      <c r="D33" s="222">
        <v>2</v>
      </c>
      <c r="E33" s="222">
        <v>80</v>
      </c>
      <c r="F33" s="222">
        <v>0</v>
      </c>
      <c r="G33" s="222">
        <v>0</v>
      </c>
    </row>
    <row r="34" spans="1:7" s="122" customFormat="1" ht="18.600000000000001" customHeight="1">
      <c r="A34" s="220" t="s">
        <v>35</v>
      </c>
      <c r="B34" s="219">
        <f>SUM(D34+F34)</f>
        <v>10</v>
      </c>
      <c r="C34" s="219">
        <f>SUM(E34+G34)</f>
        <v>715</v>
      </c>
      <c r="D34" s="219">
        <f>SUM(D35:D36)</f>
        <v>10</v>
      </c>
      <c r="E34" s="219">
        <f>SUM(E35:E36)</f>
        <v>715</v>
      </c>
      <c r="F34" s="219">
        <f>SUM(F35:F36)</f>
        <v>0</v>
      </c>
      <c r="G34" s="219">
        <f>SUM(G35:G36)</f>
        <v>0</v>
      </c>
    </row>
    <row r="35" spans="1:7" s="122" customFormat="1" ht="18.600000000000001" customHeight="1">
      <c r="A35" s="221" t="s">
        <v>37</v>
      </c>
      <c r="B35" s="222">
        <v>2</v>
      </c>
      <c r="C35" s="222">
        <v>80</v>
      </c>
      <c r="D35" s="222">
        <v>2</v>
      </c>
      <c r="E35" s="222">
        <v>80</v>
      </c>
      <c r="F35" s="222">
        <v>0</v>
      </c>
      <c r="G35" s="222">
        <v>0</v>
      </c>
    </row>
    <row r="36" spans="1:7" s="122" customFormat="1" ht="18.600000000000001" customHeight="1">
      <c r="A36" s="221" t="s">
        <v>36</v>
      </c>
      <c r="B36" s="222">
        <v>8</v>
      </c>
      <c r="C36" s="222">
        <v>635</v>
      </c>
      <c r="D36" s="222">
        <v>8</v>
      </c>
      <c r="E36" s="222">
        <v>635</v>
      </c>
      <c r="F36" s="222">
        <v>0</v>
      </c>
      <c r="G36" s="222">
        <v>0</v>
      </c>
    </row>
    <row r="37" spans="1:7" s="122" customFormat="1">
      <c r="A37" s="215"/>
      <c r="B37" s="215"/>
      <c r="C37" s="215"/>
      <c r="D37" s="215"/>
      <c r="E37" s="215"/>
      <c r="F37" s="215"/>
      <c r="G37" s="225" t="s">
        <v>90</v>
      </c>
    </row>
    <row r="38" spans="1:7" s="122" customFormat="1" ht="60" customHeight="1">
      <c r="A38" s="270" t="s">
        <v>283</v>
      </c>
      <c r="B38" s="270"/>
      <c r="C38" s="270"/>
      <c r="D38" s="270"/>
      <c r="E38" s="270"/>
      <c r="F38" s="270"/>
      <c r="G38" s="270"/>
    </row>
    <row r="39" spans="1:7" s="211" customFormat="1" ht="12">
      <c r="A39" s="56" t="s">
        <v>277</v>
      </c>
      <c r="B39" s="251"/>
      <c r="C39" s="251"/>
      <c r="D39" s="252" t="s">
        <v>177</v>
      </c>
      <c r="E39" s="251"/>
      <c r="F39" s="251"/>
      <c r="G39" s="251" t="s">
        <v>89</v>
      </c>
    </row>
    <row r="40" spans="1:7" s="122" customFormat="1" ht="20.100000000000001" customHeight="1">
      <c r="A40" s="267" t="s">
        <v>7</v>
      </c>
      <c r="B40" s="268" t="s">
        <v>103</v>
      </c>
      <c r="C40" s="269"/>
      <c r="D40" s="267" t="s">
        <v>134</v>
      </c>
      <c r="E40" s="267"/>
      <c r="F40" s="267" t="s">
        <v>135</v>
      </c>
      <c r="G40" s="267"/>
    </row>
    <row r="41" spans="1:7" s="122" customFormat="1" ht="20.100000000000001" customHeight="1">
      <c r="A41" s="267"/>
      <c r="B41" s="217" t="s">
        <v>2</v>
      </c>
      <c r="C41" s="217" t="s">
        <v>3</v>
      </c>
      <c r="D41" s="217" t="s">
        <v>2</v>
      </c>
      <c r="E41" s="217" t="s">
        <v>3</v>
      </c>
      <c r="F41" s="217" t="s">
        <v>2</v>
      </c>
      <c r="G41" s="217" t="s">
        <v>3</v>
      </c>
    </row>
    <row r="42" spans="1:7" s="122" customFormat="1" ht="18.600000000000001" customHeight="1">
      <c r="A42" s="220" t="s">
        <v>29</v>
      </c>
      <c r="B42" s="219">
        <f>SUM(D42+F42)</f>
        <v>8</v>
      </c>
      <c r="C42" s="219">
        <f>SUM(E42+G42)</f>
        <v>532</v>
      </c>
      <c r="D42" s="219">
        <f>SUM(D43:D45)</f>
        <v>8</v>
      </c>
      <c r="E42" s="219">
        <f>SUM(E43:E45)</f>
        <v>532</v>
      </c>
      <c r="F42" s="219">
        <f>SUM(F43:F45)</f>
        <v>0</v>
      </c>
      <c r="G42" s="219">
        <f>SUM(G43:G45)</f>
        <v>0</v>
      </c>
    </row>
    <row r="43" spans="1:7" s="122" customFormat="1" ht="18.600000000000001" customHeight="1">
      <c r="A43" s="221" t="s">
        <v>31</v>
      </c>
      <c r="B43" s="222">
        <v>3</v>
      </c>
      <c r="C43" s="222">
        <v>52</v>
      </c>
      <c r="D43" s="222">
        <v>3</v>
      </c>
      <c r="E43" s="222">
        <v>52</v>
      </c>
      <c r="F43" s="222">
        <v>0</v>
      </c>
      <c r="G43" s="222">
        <v>0</v>
      </c>
    </row>
    <row r="44" spans="1:7" s="122" customFormat="1" ht="18.600000000000001" customHeight="1">
      <c r="A44" s="221" t="s">
        <v>30</v>
      </c>
      <c r="B44" s="222">
        <v>3</v>
      </c>
      <c r="C44" s="222">
        <v>330</v>
      </c>
      <c r="D44" s="222">
        <v>3</v>
      </c>
      <c r="E44" s="222">
        <v>330</v>
      </c>
      <c r="F44" s="222">
        <v>0</v>
      </c>
      <c r="G44" s="222">
        <v>0</v>
      </c>
    </row>
    <row r="45" spans="1:7" s="122" customFormat="1" ht="18.600000000000001" customHeight="1">
      <c r="A45" s="221" t="s">
        <v>32</v>
      </c>
      <c r="B45" s="222">
        <v>2</v>
      </c>
      <c r="C45" s="222">
        <v>150</v>
      </c>
      <c r="D45" s="222">
        <v>2</v>
      </c>
      <c r="E45" s="222">
        <v>150</v>
      </c>
      <c r="F45" s="222">
        <v>0</v>
      </c>
      <c r="G45" s="222">
        <v>0</v>
      </c>
    </row>
    <row r="46" spans="1:7" s="122" customFormat="1" ht="18.600000000000001" customHeight="1">
      <c r="A46" s="220" t="s">
        <v>25</v>
      </c>
      <c r="B46" s="219">
        <f>SUM(D46,F46)</f>
        <v>7</v>
      </c>
      <c r="C46" s="219">
        <f>SUM(E46,G46)</f>
        <v>522</v>
      </c>
      <c r="D46" s="219">
        <f>SUM(D47)</f>
        <v>7</v>
      </c>
      <c r="E46" s="219">
        <f>SUM(E47)</f>
        <v>522</v>
      </c>
      <c r="F46" s="219">
        <f>SUM(F47)</f>
        <v>0</v>
      </c>
      <c r="G46" s="219">
        <f>SUM(G47)</f>
        <v>0</v>
      </c>
    </row>
    <row r="47" spans="1:7" s="122" customFormat="1" ht="18.600000000000001" customHeight="1">
      <c r="A47" s="221" t="s">
        <v>26</v>
      </c>
      <c r="B47" s="222">
        <f t="shared" ref="B47:C47" si="2">SUM(D47,F47)</f>
        <v>7</v>
      </c>
      <c r="C47" s="222">
        <f t="shared" si="2"/>
        <v>522</v>
      </c>
      <c r="D47" s="222">
        <v>7</v>
      </c>
      <c r="E47" s="222">
        <v>522</v>
      </c>
      <c r="F47" s="222">
        <v>0</v>
      </c>
      <c r="G47" s="222">
        <v>0</v>
      </c>
    </row>
    <row r="48" spans="1:7" s="122" customFormat="1" ht="18.600000000000001" customHeight="1">
      <c r="A48" s="220" t="s">
        <v>46</v>
      </c>
      <c r="B48" s="219">
        <f t="shared" ref="B48:C48" si="3">SUM(D48+F48)</f>
        <v>0</v>
      </c>
      <c r="C48" s="219">
        <f t="shared" si="3"/>
        <v>0</v>
      </c>
      <c r="D48" s="219">
        <f>SUM(D49:D51)</f>
        <v>0</v>
      </c>
      <c r="E48" s="219">
        <f>SUM(E49:E51)</f>
        <v>0</v>
      </c>
      <c r="F48" s="219">
        <f>SUM(F49:F51)</f>
        <v>0</v>
      </c>
      <c r="G48" s="219">
        <f>SUM(G49:G51)</f>
        <v>0</v>
      </c>
    </row>
    <row r="49" spans="1:7" s="122" customFormat="1" ht="18.600000000000001" customHeight="1">
      <c r="A49" s="221" t="s">
        <v>48</v>
      </c>
      <c r="B49" s="222">
        <v>0</v>
      </c>
      <c r="C49" s="222">
        <v>0</v>
      </c>
      <c r="D49" s="222">
        <v>0</v>
      </c>
      <c r="E49" s="222">
        <v>0</v>
      </c>
      <c r="F49" s="222">
        <v>0</v>
      </c>
      <c r="G49" s="222">
        <v>0</v>
      </c>
    </row>
    <row r="50" spans="1:7" s="122" customFormat="1" ht="18.600000000000001" customHeight="1">
      <c r="A50" s="221" t="s">
        <v>49</v>
      </c>
      <c r="B50" s="222">
        <v>0</v>
      </c>
      <c r="C50" s="222">
        <v>0</v>
      </c>
      <c r="D50" s="222">
        <v>0</v>
      </c>
      <c r="E50" s="222">
        <v>0</v>
      </c>
      <c r="F50" s="222">
        <v>0</v>
      </c>
      <c r="G50" s="222">
        <v>0</v>
      </c>
    </row>
    <row r="51" spans="1:7" s="122" customFormat="1" ht="18.600000000000001" customHeight="1">
      <c r="A51" s="221" t="s">
        <v>47</v>
      </c>
      <c r="B51" s="222">
        <v>0</v>
      </c>
      <c r="C51" s="222">
        <v>0</v>
      </c>
      <c r="D51" s="222">
        <v>0</v>
      </c>
      <c r="E51" s="222">
        <v>0</v>
      </c>
      <c r="F51" s="222">
        <v>0</v>
      </c>
      <c r="G51" s="222">
        <v>0</v>
      </c>
    </row>
    <row r="52" spans="1:7" s="122" customFormat="1" ht="18.600000000000001" customHeight="1">
      <c r="A52" s="220" t="s">
        <v>54</v>
      </c>
      <c r="B52" s="219">
        <f t="shared" ref="B52:C54" si="4">SUM(D52+F52)</f>
        <v>8</v>
      </c>
      <c r="C52" s="219">
        <f t="shared" si="4"/>
        <v>426</v>
      </c>
      <c r="D52" s="219">
        <f>SUM(D53)</f>
        <v>4</v>
      </c>
      <c r="E52" s="219">
        <f>SUM(E53)</f>
        <v>426</v>
      </c>
      <c r="F52" s="219">
        <f>SUM(F53)</f>
        <v>4</v>
      </c>
      <c r="G52" s="219">
        <f>SUM(G53)</f>
        <v>0</v>
      </c>
    </row>
    <row r="53" spans="1:7" s="122" customFormat="1" ht="18.600000000000001" customHeight="1">
      <c r="A53" s="221" t="s">
        <v>55</v>
      </c>
      <c r="B53" s="222">
        <f t="shared" si="4"/>
        <v>8</v>
      </c>
      <c r="C53" s="222">
        <f t="shared" si="4"/>
        <v>426</v>
      </c>
      <c r="D53" s="222">
        <v>4</v>
      </c>
      <c r="E53" s="222">
        <v>426</v>
      </c>
      <c r="F53" s="222">
        <v>4</v>
      </c>
      <c r="G53" s="222">
        <v>0</v>
      </c>
    </row>
    <row r="54" spans="1:7" s="122" customFormat="1" ht="18.600000000000001" customHeight="1">
      <c r="A54" s="220" t="s">
        <v>66</v>
      </c>
      <c r="B54" s="219">
        <f t="shared" si="4"/>
        <v>10</v>
      </c>
      <c r="C54" s="219">
        <f t="shared" si="4"/>
        <v>804</v>
      </c>
      <c r="D54" s="219">
        <f>SUM(D55:D57)</f>
        <v>7</v>
      </c>
      <c r="E54" s="219">
        <f>SUM(E55:E57)</f>
        <v>767</v>
      </c>
      <c r="F54" s="219">
        <f>SUM(F55:F57)</f>
        <v>3</v>
      </c>
      <c r="G54" s="219">
        <f>SUM(G55:G57)</f>
        <v>37</v>
      </c>
    </row>
    <row r="55" spans="1:7" s="122" customFormat="1" ht="18.600000000000001" customHeight="1">
      <c r="A55" s="221" t="s">
        <v>68</v>
      </c>
      <c r="B55" s="222">
        <v>0</v>
      </c>
      <c r="C55" s="222">
        <v>0</v>
      </c>
      <c r="D55" s="222">
        <v>0</v>
      </c>
      <c r="E55" s="222">
        <v>0</v>
      </c>
      <c r="F55" s="222">
        <v>0</v>
      </c>
      <c r="G55" s="222">
        <v>0</v>
      </c>
    </row>
    <row r="56" spans="1:7" s="122" customFormat="1" ht="18.600000000000001" customHeight="1">
      <c r="A56" s="221" t="s">
        <v>69</v>
      </c>
      <c r="B56" s="222">
        <v>3</v>
      </c>
      <c r="C56" s="222">
        <v>196</v>
      </c>
      <c r="D56" s="222">
        <v>3</v>
      </c>
      <c r="E56" s="222">
        <v>196</v>
      </c>
      <c r="F56" s="222">
        <v>0</v>
      </c>
      <c r="G56" s="222">
        <v>0</v>
      </c>
    </row>
    <row r="57" spans="1:7" s="122" customFormat="1" ht="18.600000000000001" customHeight="1">
      <c r="A57" s="221" t="s">
        <v>67</v>
      </c>
      <c r="B57" s="222">
        <v>7</v>
      </c>
      <c r="C57" s="222">
        <v>608</v>
      </c>
      <c r="D57" s="222">
        <v>4</v>
      </c>
      <c r="E57" s="222">
        <v>571</v>
      </c>
      <c r="F57" s="222">
        <v>3</v>
      </c>
      <c r="G57" s="222">
        <v>37</v>
      </c>
    </row>
    <row r="58" spans="1:7" s="122" customFormat="1" ht="18.600000000000001" customHeight="1">
      <c r="A58" s="220" t="s">
        <v>81</v>
      </c>
      <c r="B58" s="219">
        <f>SUM(D58+F58)</f>
        <v>6</v>
      </c>
      <c r="C58" s="219">
        <f>SUM(E58+G58)</f>
        <v>460</v>
      </c>
      <c r="D58" s="219">
        <f>SUM(D59:D60)</f>
        <v>6</v>
      </c>
      <c r="E58" s="219">
        <f>SUM(E59:E60)</f>
        <v>460</v>
      </c>
      <c r="F58" s="219">
        <f>SUM(F59:F60)</f>
        <v>0</v>
      </c>
      <c r="G58" s="219">
        <f>SUM(G59:G60)</f>
        <v>0</v>
      </c>
    </row>
    <row r="59" spans="1:7" s="122" customFormat="1" ht="18.600000000000001" customHeight="1">
      <c r="A59" s="221" t="s">
        <v>83</v>
      </c>
      <c r="B59" s="222">
        <v>1</v>
      </c>
      <c r="C59" s="222">
        <v>100</v>
      </c>
      <c r="D59" s="222">
        <v>1</v>
      </c>
      <c r="E59" s="222">
        <v>100</v>
      </c>
      <c r="F59" s="222">
        <v>0</v>
      </c>
      <c r="G59" s="222">
        <v>0</v>
      </c>
    </row>
    <row r="60" spans="1:7" s="122" customFormat="1" ht="18.600000000000001" customHeight="1">
      <c r="A60" s="221" t="s">
        <v>82</v>
      </c>
      <c r="B60" s="222">
        <v>5</v>
      </c>
      <c r="C60" s="222">
        <v>360</v>
      </c>
      <c r="D60" s="222">
        <v>5</v>
      </c>
      <c r="E60" s="222">
        <v>360</v>
      </c>
      <c r="F60" s="222">
        <v>0</v>
      </c>
      <c r="G60" s="222">
        <v>0</v>
      </c>
    </row>
    <row r="61" spans="1:7" s="122" customFormat="1" ht="18.600000000000001" customHeight="1">
      <c r="A61" s="220" t="s">
        <v>38</v>
      </c>
      <c r="B61" s="219">
        <f>SUM(D61+F61)</f>
        <v>12</v>
      </c>
      <c r="C61" s="219">
        <f>SUM(E61+G61)</f>
        <v>782</v>
      </c>
      <c r="D61" s="219">
        <f>SUM(D62:D65)</f>
        <v>12</v>
      </c>
      <c r="E61" s="219">
        <f>SUM(E62:E65)</f>
        <v>782</v>
      </c>
      <c r="F61" s="219">
        <f>SUM(F62:F65)</f>
        <v>0</v>
      </c>
      <c r="G61" s="219">
        <f>SUM(G62:G65)</f>
        <v>0</v>
      </c>
    </row>
    <row r="62" spans="1:7" s="122" customFormat="1" ht="18.600000000000001" customHeight="1">
      <c r="A62" s="221" t="s">
        <v>41</v>
      </c>
      <c r="B62" s="222">
        <v>4</v>
      </c>
      <c r="C62" s="222">
        <v>198</v>
      </c>
      <c r="D62" s="222">
        <v>4</v>
      </c>
      <c r="E62" s="222">
        <v>198</v>
      </c>
      <c r="F62" s="222">
        <v>0</v>
      </c>
      <c r="G62" s="222">
        <v>0</v>
      </c>
    </row>
    <row r="63" spans="1:7" s="122" customFormat="1" ht="18.600000000000001" customHeight="1">
      <c r="A63" s="221" t="s">
        <v>42</v>
      </c>
      <c r="B63" s="222">
        <v>0</v>
      </c>
      <c r="C63" s="222">
        <v>0</v>
      </c>
      <c r="D63" s="222">
        <v>0</v>
      </c>
      <c r="E63" s="222">
        <v>0</v>
      </c>
      <c r="F63" s="222">
        <v>0</v>
      </c>
      <c r="G63" s="222">
        <v>0</v>
      </c>
    </row>
    <row r="64" spans="1:7" s="122" customFormat="1" ht="18.600000000000001" customHeight="1">
      <c r="A64" s="221" t="s">
        <v>39</v>
      </c>
      <c r="B64" s="222">
        <v>6</v>
      </c>
      <c r="C64" s="222">
        <v>558</v>
      </c>
      <c r="D64" s="222">
        <v>6</v>
      </c>
      <c r="E64" s="222">
        <v>558</v>
      </c>
      <c r="F64" s="222">
        <v>0</v>
      </c>
      <c r="G64" s="222">
        <v>0</v>
      </c>
    </row>
    <row r="65" spans="1:7" s="122" customFormat="1" ht="18.600000000000001" customHeight="1">
      <c r="A65" s="221" t="s">
        <v>40</v>
      </c>
      <c r="B65" s="222">
        <v>2</v>
      </c>
      <c r="C65" s="222">
        <v>26</v>
      </c>
      <c r="D65" s="222">
        <v>2</v>
      </c>
      <c r="E65" s="222">
        <v>26</v>
      </c>
      <c r="F65" s="222">
        <v>0</v>
      </c>
      <c r="G65" s="222">
        <v>0</v>
      </c>
    </row>
    <row r="66" spans="1:7" s="122" customFormat="1" ht="18.600000000000001" customHeight="1">
      <c r="A66" s="220" t="s">
        <v>19</v>
      </c>
      <c r="B66" s="219">
        <v>10</v>
      </c>
      <c r="C66" s="219">
        <f>SUM(E66+G66)</f>
        <v>752</v>
      </c>
      <c r="D66" s="219">
        <f>SUM(D67:D68)</f>
        <v>8</v>
      </c>
      <c r="E66" s="219">
        <f>SUM(E67:E68)</f>
        <v>752</v>
      </c>
      <c r="F66" s="219">
        <f>SUM(F67:F68)</f>
        <v>2</v>
      </c>
      <c r="G66" s="219">
        <f>SUM(G67:G68)</f>
        <v>0</v>
      </c>
    </row>
    <row r="67" spans="1:7" s="122" customFormat="1" ht="18.600000000000001" customHeight="1">
      <c r="A67" s="221" t="s">
        <v>20</v>
      </c>
      <c r="B67" s="222">
        <v>8</v>
      </c>
      <c r="C67" s="222">
        <v>604</v>
      </c>
      <c r="D67" s="222">
        <v>6</v>
      </c>
      <c r="E67" s="222">
        <v>604</v>
      </c>
      <c r="F67" s="222">
        <v>2</v>
      </c>
      <c r="G67" s="222">
        <v>0</v>
      </c>
    </row>
    <row r="68" spans="1:7" s="122" customFormat="1" ht="18.600000000000001" customHeight="1">
      <c r="A68" s="221" t="s">
        <v>21</v>
      </c>
      <c r="B68" s="222">
        <v>2</v>
      </c>
      <c r="C68" s="222">
        <v>148</v>
      </c>
      <c r="D68" s="222">
        <v>2</v>
      </c>
      <c r="E68" s="222">
        <v>148</v>
      </c>
      <c r="F68" s="222">
        <v>0</v>
      </c>
      <c r="G68" s="222">
        <v>0</v>
      </c>
    </row>
    <row r="69" spans="1:7" s="122" customFormat="1" ht="18.600000000000001" customHeight="1">
      <c r="A69" s="220" t="s">
        <v>14</v>
      </c>
      <c r="B69" s="219">
        <f>SUM(D69+F69)</f>
        <v>9</v>
      </c>
      <c r="C69" s="219">
        <f>SUM(E69+G69)</f>
        <v>844</v>
      </c>
      <c r="D69" s="219">
        <f>SUM(D70)</f>
        <v>8</v>
      </c>
      <c r="E69" s="219">
        <f>SUM(E70)</f>
        <v>824</v>
      </c>
      <c r="F69" s="219">
        <f>SUM(F70)</f>
        <v>1</v>
      </c>
      <c r="G69" s="219">
        <f>SUM(G70)</f>
        <v>20</v>
      </c>
    </row>
    <row r="70" spans="1:7" s="122" customFormat="1" ht="18.600000000000001" customHeight="1">
      <c r="A70" s="221" t="s">
        <v>15</v>
      </c>
      <c r="B70" s="222">
        <v>9</v>
      </c>
      <c r="C70" s="222">
        <v>844</v>
      </c>
      <c r="D70" s="222">
        <v>8</v>
      </c>
      <c r="E70" s="222">
        <v>824</v>
      </c>
      <c r="F70" s="222">
        <v>1</v>
      </c>
      <c r="G70" s="222">
        <v>20</v>
      </c>
    </row>
    <row r="71" spans="1:7" s="122" customFormat="1" ht="18.600000000000001" customHeight="1">
      <c r="A71" s="220" t="s">
        <v>12</v>
      </c>
      <c r="B71" s="219">
        <f>SUM(D71+F71)</f>
        <v>51</v>
      </c>
      <c r="C71" s="219">
        <f>SUM(E71+G71)</f>
        <v>5981</v>
      </c>
      <c r="D71" s="219">
        <f>SUM(D72)</f>
        <v>21</v>
      </c>
      <c r="E71" s="219">
        <f>SUM(E72)</f>
        <v>5253</v>
      </c>
      <c r="F71" s="219">
        <f>SUM(F72)</f>
        <v>30</v>
      </c>
      <c r="G71" s="219">
        <f>SUM(G72)</f>
        <v>728</v>
      </c>
    </row>
    <row r="72" spans="1:7" s="122" customFormat="1" ht="18.600000000000001" customHeight="1">
      <c r="A72" s="221" t="s">
        <v>13</v>
      </c>
      <c r="B72" s="222">
        <f>SUM(D72+F72)</f>
        <v>51</v>
      </c>
      <c r="C72" s="222">
        <f>SUM(E72+G72)</f>
        <v>5981</v>
      </c>
      <c r="D72" s="226">
        <v>21</v>
      </c>
      <c r="E72" s="226">
        <v>5253</v>
      </c>
      <c r="F72" s="222">
        <v>30</v>
      </c>
      <c r="G72" s="222">
        <v>728</v>
      </c>
    </row>
    <row r="73" spans="1:7" s="122" customFormat="1" ht="14.45" customHeight="1">
      <c r="A73" s="227"/>
      <c r="B73" s="228"/>
      <c r="C73" s="228"/>
      <c r="D73" s="228"/>
      <c r="E73" s="228"/>
      <c r="F73" s="228"/>
      <c r="G73" s="225" t="s">
        <v>90</v>
      </c>
    </row>
    <row r="74" spans="1:7" s="122" customFormat="1" ht="60" customHeight="1">
      <c r="A74" s="270" t="s">
        <v>283</v>
      </c>
      <c r="B74" s="270"/>
      <c r="C74" s="270"/>
      <c r="D74" s="270"/>
      <c r="E74" s="270"/>
      <c r="F74" s="270"/>
      <c r="G74" s="270"/>
    </row>
    <row r="75" spans="1:7" s="211" customFormat="1" ht="12">
      <c r="A75" s="56" t="s">
        <v>277</v>
      </c>
      <c r="B75" s="251"/>
      <c r="C75" s="251"/>
      <c r="D75" s="252" t="s">
        <v>177</v>
      </c>
      <c r="E75" s="251"/>
      <c r="F75" s="251"/>
      <c r="G75" s="251" t="s">
        <v>89</v>
      </c>
    </row>
    <row r="76" spans="1:7" s="122" customFormat="1" ht="20.100000000000001" customHeight="1">
      <c r="A76" s="267" t="s">
        <v>7</v>
      </c>
      <c r="B76" s="268" t="s">
        <v>103</v>
      </c>
      <c r="C76" s="269"/>
      <c r="D76" s="267" t="s">
        <v>134</v>
      </c>
      <c r="E76" s="267"/>
      <c r="F76" s="267" t="s">
        <v>135</v>
      </c>
      <c r="G76" s="267"/>
    </row>
    <row r="77" spans="1:7" s="122" customFormat="1" ht="20.100000000000001" customHeight="1">
      <c r="A77" s="267"/>
      <c r="B77" s="217" t="s">
        <v>2</v>
      </c>
      <c r="C77" s="217" t="s">
        <v>3</v>
      </c>
      <c r="D77" s="217" t="s">
        <v>2</v>
      </c>
      <c r="E77" s="217" t="s">
        <v>3</v>
      </c>
      <c r="F77" s="217" t="s">
        <v>2</v>
      </c>
      <c r="G77" s="217" t="s">
        <v>3</v>
      </c>
    </row>
    <row r="78" spans="1:7" s="122" customFormat="1" ht="18.600000000000001" customHeight="1">
      <c r="A78" s="220" t="s">
        <v>73</v>
      </c>
      <c r="B78" s="219">
        <f>SUM(B79:B80:B81:B82:B83)</f>
        <v>6</v>
      </c>
      <c r="C78" s="219">
        <f>SUM(C79:C80:C81:C82:C83)</f>
        <v>309</v>
      </c>
      <c r="D78" s="219">
        <f>SUM(D79:D80:D81:D82:D83)</f>
        <v>5</v>
      </c>
      <c r="E78" s="219">
        <f>SUM(E79:E80:E81:E82:E83)</f>
        <v>292</v>
      </c>
      <c r="F78" s="219">
        <f>SUM(F79:F82:F81:F82:F83)</f>
        <v>1</v>
      </c>
      <c r="G78" s="219">
        <f>SUM(G79:G80:G81:G82:G83)</f>
        <v>17</v>
      </c>
    </row>
    <row r="79" spans="1:7" s="122" customFormat="1" ht="18.600000000000001" customHeight="1">
      <c r="A79" s="221" t="s">
        <v>74</v>
      </c>
      <c r="B79" s="222">
        <v>3</v>
      </c>
      <c r="C79" s="222">
        <v>179</v>
      </c>
      <c r="D79" s="222">
        <v>2</v>
      </c>
      <c r="E79" s="222">
        <v>162</v>
      </c>
      <c r="F79" s="222">
        <v>1</v>
      </c>
      <c r="G79" s="222">
        <v>17</v>
      </c>
    </row>
    <row r="80" spans="1:7" s="122" customFormat="1" ht="18.600000000000001" customHeight="1">
      <c r="A80" s="221" t="s">
        <v>75</v>
      </c>
      <c r="B80" s="222">
        <v>1</v>
      </c>
      <c r="C80" s="222">
        <v>50</v>
      </c>
      <c r="D80" s="222">
        <v>1</v>
      </c>
      <c r="E80" s="222">
        <v>50</v>
      </c>
      <c r="F80" s="222">
        <v>0</v>
      </c>
      <c r="G80" s="222">
        <v>0</v>
      </c>
    </row>
    <row r="81" spans="1:7" s="122" customFormat="1" ht="18.600000000000001" customHeight="1">
      <c r="A81" s="221" t="s">
        <v>76</v>
      </c>
      <c r="B81" s="222">
        <v>1</v>
      </c>
      <c r="C81" s="222">
        <v>20</v>
      </c>
      <c r="D81" s="222">
        <v>1</v>
      </c>
      <c r="E81" s="222">
        <v>20</v>
      </c>
      <c r="F81" s="222">
        <v>0</v>
      </c>
      <c r="G81" s="222">
        <v>0</v>
      </c>
    </row>
    <row r="82" spans="1:7" s="122" customFormat="1" ht="18.600000000000001" customHeight="1">
      <c r="A82" s="221" t="s">
        <v>78</v>
      </c>
      <c r="B82" s="222">
        <v>0</v>
      </c>
      <c r="C82" s="222">
        <v>0</v>
      </c>
      <c r="D82" s="222">
        <v>0</v>
      </c>
      <c r="E82" s="222">
        <v>0</v>
      </c>
      <c r="F82" s="222">
        <v>0</v>
      </c>
      <c r="G82" s="222">
        <v>0</v>
      </c>
    </row>
    <row r="83" spans="1:7" s="122" customFormat="1" ht="18.600000000000001" customHeight="1">
      <c r="A83" s="221" t="s">
        <v>77</v>
      </c>
      <c r="B83" s="222">
        <v>1</v>
      </c>
      <c r="C83" s="222">
        <v>60</v>
      </c>
      <c r="D83" s="222">
        <v>1</v>
      </c>
      <c r="E83" s="222">
        <v>60</v>
      </c>
      <c r="F83" s="222">
        <v>0</v>
      </c>
      <c r="G83" s="222">
        <v>0</v>
      </c>
    </row>
    <row r="84" spans="1:7" s="122" customFormat="1" ht="18.600000000000001" customHeight="1">
      <c r="A84" s="220" t="s">
        <v>22</v>
      </c>
      <c r="B84" s="219">
        <f>SUM(D84+F84)</f>
        <v>16</v>
      </c>
      <c r="C84" s="219">
        <f>SUM(E84+G84)</f>
        <v>705</v>
      </c>
      <c r="D84" s="219">
        <f>SUM(D85:D86)</f>
        <v>6</v>
      </c>
      <c r="E84" s="219">
        <f>SUM(E85:E86)</f>
        <v>530</v>
      </c>
      <c r="F84" s="219">
        <f>SUM(F85:F86)</f>
        <v>10</v>
      </c>
      <c r="G84" s="219">
        <f>SUM(G85:G86)</f>
        <v>175</v>
      </c>
    </row>
    <row r="85" spans="1:7" s="122" customFormat="1" ht="18.600000000000001" customHeight="1">
      <c r="A85" s="221" t="s">
        <v>24</v>
      </c>
      <c r="B85" s="222">
        <v>1</v>
      </c>
      <c r="C85" s="222">
        <v>110</v>
      </c>
      <c r="D85" s="222">
        <v>1</v>
      </c>
      <c r="E85" s="222">
        <v>110</v>
      </c>
      <c r="F85" s="222">
        <v>0</v>
      </c>
      <c r="G85" s="222">
        <v>0</v>
      </c>
    </row>
    <row r="86" spans="1:7" s="122" customFormat="1" ht="18.600000000000001" customHeight="1">
      <c r="A86" s="221" t="s">
        <v>23</v>
      </c>
      <c r="B86" s="222">
        <v>15</v>
      </c>
      <c r="C86" s="222">
        <v>595</v>
      </c>
      <c r="D86" s="222">
        <v>5</v>
      </c>
      <c r="E86" s="222">
        <v>420</v>
      </c>
      <c r="F86" s="222">
        <v>10</v>
      </c>
      <c r="G86" s="222">
        <v>175</v>
      </c>
    </row>
    <row r="87" spans="1:7" s="122" customFormat="1" ht="18.600000000000001" customHeight="1">
      <c r="A87" s="220" t="s">
        <v>70</v>
      </c>
      <c r="B87" s="219">
        <f>SUM(D87+F87)</f>
        <v>10</v>
      </c>
      <c r="C87" s="219">
        <f>SUM(E87+G87)</f>
        <v>822</v>
      </c>
      <c r="D87" s="219">
        <f>SUM(D88:D89)</f>
        <v>10</v>
      </c>
      <c r="E87" s="219">
        <f>SUM(E88:E89)</f>
        <v>822</v>
      </c>
      <c r="F87" s="219">
        <f>SUM(F88:F89)</f>
        <v>0</v>
      </c>
      <c r="G87" s="219">
        <f>SUM(G88:G89)</f>
        <v>0</v>
      </c>
    </row>
    <row r="88" spans="1:7" s="122" customFormat="1" ht="18.600000000000001" customHeight="1">
      <c r="A88" s="221" t="s">
        <v>72</v>
      </c>
      <c r="B88" s="222">
        <v>1</v>
      </c>
      <c r="C88" s="222">
        <v>110</v>
      </c>
      <c r="D88" s="222">
        <v>1</v>
      </c>
      <c r="E88" s="222">
        <v>110</v>
      </c>
      <c r="F88" s="222">
        <v>0</v>
      </c>
      <c r="G88" s="222">
        <v>0</v>
      </c>
    </row>
    <row r="89" spans="1:7" s="122" customFormat="1" ht="18.600000000000001" customHeight="1">
      <c r="A89" s="221" t="s">
        <v>71</v>
      </c>
      <c r="B89" s="222">
        <v>9</v>
      </c>
      <c r="C89" s="222">
        <v>712</v>
      </c>
      <c r="D89" s="222">
        <v>9</v>
      </c>
      <c r="E89" s="222">
        <v>712</v>
      </c>
      <c r="F89" s="222">
        <v>0</v>
      </c>
      <c r="G89" s="222">
        <v>0</v>
      </c>
    </row>
    <row r="90" spans="1:7" s="122" customFormat="1" ht="18.600000000000001" customHeight="1">
      <c r="A90" s="220" t="s">
        <v>50</v>
      </c>
      <c r="B90" s="219">
        <f t="shared" ref="B90:C92" si="5">SUM(D90+F90)</f>
        <v>6</v>
      </c>
      <c r="C90" s="219">
        <f t="shared" si="5"/>
        <v>283</v>
      </c>
      <c r="D90" s="219">
        <f>SUM(D91)</f>
        <v>5</v>
      </c>
      <c r="E90" s="219">
        <f>SUM(E91)</f>
        <v>198</v>
      </c>
      <c r="F90" s="219">
        <f>SUM(F91)</f>
        <v>1</v>
      </c>
      <c r="G90" s="219">
        <f>SUM(G91)</f>
        <v>85</v>
      </c>
    </row>
    <row r="91" spans="1:7" s="122" customFormat="1" ht="18.600000000000001" customHeight="1">
      <c r="A91" s="221" t="s">
        <v>51</v>
      </c>
      <c r="B91" s="222">
        <f t="shared" si="5"/>
        <v>6</v>
      </c>
      <c r="C91" s="222">
        <f t="shared" si="5"/>
        <v>283</v>
      </c>
      <c r="D91" s="222">
        <v>5</v>
      </c>
      <c r="E91" s="222">
        <v>198</v>
      </c>
      <c r="F91" s="222">
        <v>1</v>
      </c>
      <c r="G91" s="222">
        <v>85</v>
      </c>
    </row>
    <row r="92" spans="1:7" s="122" customFormat="1" ht="18.600000000000001" customHeight="1">
      <c r="A92" s="220" t="s">
        <v>63</v>
      </c>
      <c r="B92" s="219">
        <f t="shared" si="5"/>
        <v>16</v>
      </c>
      <c r="C92" s="219">
        <f t="shared" si="5"/>
        <v>559</v>
      </c>
      <c r="D92" s="219">
        <f>SUM(D93:D94)</f>
        <v>5</v>
      </c>
      <c r="E92" s="219">
        <f>SUM(E93:E94)</f>
        <v>486</v>
      </c>
      <c r="F92" s="219">
        <f>SUM(F93:F94)</f>
        <v>11</v>
      </c>
      <c r="G92" s="219">
        <f>SUM(G93:G94)</f>
        <v>73</v>
      </c>
    </row>
    <row r="93" spans="1:7" s="122" customFormat="1" ht="18.600000000000001" customHeight="1">
      <c r="A93" s="221" t="s">
        <v>64</v>
      </c>
      <c r="B93" s="222">
        <v>13</v>
      </c>
      <c r="C93" s="222">
        <v>485</v>
      </c>
      <c r="D93" s="222">
        <v>4</v>
      </c>
      <c r="E93" s="222">
        <v>426</v>
      </c>
      <c r="F93" s="222">
        <v>9</v>
      </c>
      <c r="G93" s="222">
        <v>59</v>
      </c>
    </row>
    <row r="94" spans="1:7" s="122" customFormat="1" ht="18.600000000000001" customHeight="1">
      <c r="A94" s="221" t="s">
        <v>65</v>
      </c>
      <c r="B94" s="222">
        <v>3</v>
      </c>
      <c r="C94" s="222">
        <v>74</v>
      </c>
      <c r="D94" s="222">
        <v>1</v>
      </c>
      <c r="E94" s="222">
        <v>60</v>
      </c>
      <c r="F94" s="222">
        <v>2</v>
      </c>
      <c r="G94" s="222">
        <v>14</v>
      </c>
    </row>
    <row r="95" spans="1:7" s="122" customFormat="1" ht="18.600000000000001" customHeight="1">
      <c r="A95" s="220" t="s">
        <v>185</v>
      </c>
      <c r="B95" s="229">
        <f t="shared" ref="B95:C101" si="6">SUM(D95+F95)</f>
        <v>4</v>
      </c>
      <c r="C95" s="229">
        <f t="shared" si="6"/>
        <v>503</v>
      </c>
      <c r="D95" s="229">
        <v>4</v>
      </c>
      <c r="E95" s="229">
        <v>503</v>
      </c>
      <c r="F95" s="230">
        <v>0</v>
      </c>
      <c r="G95" s="230">
        <v>0</v>
      </c>
    </row>
    <row r="96" spans="1:7" ht="18.600000000000001" customHeight="1">
      <c r="A96" s="220" t="s">
        <v>181</v>
      </c>
      <c r="B96" s="229">
        <f t="shared" si="6"/>
        <v>5</v>
      </c>
      <c r="C96" s="229">
        <f t="shared" si="6"/>
        <v>190</v>
      </c>
      <c r="D96" s="229">
        <v>5</v>
      </c>
      <c r="E96" s="229">
        <v>190</v>
      </c>
      <c r="F96" s="230">
        <v>0</v>
      </c>
      <c r="G96" s="230">
        <v>0</v>
      </c>
    </row>
    <row r="97" spans="1:9" ht="18.600000000000001" customHeight="1">
      <c r="A97" s="220" t="s">
        <v>179</v>
      </c>
      <c r="B97" s="229">
        <f t="shared" si="6"/>
        <v>4</v>
      </c>
      <c r="C97" s="229">
        <f t="shared" si="6"/>
        <v>332</v>
      </c>
      <c r="D97" s="229">
        <v>4</v>
      </c>
      <c r="E97" s="229">
        <v>332</v>
      </c>
      <c r="F97" s="230">
        <v>0</v>
      </c>
      <c r="G97" s="230">
        <v>0</v>
      </c>
    </row>
    <row r="98" spans="1:9" ht="18.600000000000001" customHeight="1">
      <c r="A98" s="220" t="s">
        <v>180</v>
      </c>
      <c r="B98" s="229">
        <f t="shared" si="6"/>
        <v>2</v>
      </c>
      <c r="C98" s="229">
        <f t="shared" si="6"/>
        <v>118</v>
      </c>
      <c r="D98" s="229">
        <v>2</v>
      </c>
      <c r="E98" s="229">
        <v>118</v>
      </c>
      <c r="F98" s="230">
        <v>0</v>
      </c>
      <c r="G98" s="230">
        <v>0</v>
      </c>
    </row>
    <row r="99" spans="1:9" ht="18.600000000000001" customHeight="1">
      <c r="A99" s="220" t="s">
        <v>182</v>
      </c>
      <c r="B99" s="229">
        <f t="shared" si="6"/>
        <v>5</v>
      </c>
      <c r="C99" s="229">
        <f t="shared" si="6"/>
        <v>228</v>
      </c>
      <c r="D99" s="229">
        <v>5</v>
      </c>
      <c r="E99" s="229">
        <v>228</v>
      </c>
      <c r="F99" s="230">
        <v>0</v>
      </c>
      <c r="G99" s="230">
        <v>0</v>
      </c>
    </row>
    <row r="100" spans="1:9" ht="18.600000000000001" customHeight="1">
      <c r="A100" s="220" t="s">
        <v>183</v>
      </c>
      <c r="B100" s="229">
        <f t="shared" si="6"/>
        <v>9</v>
      </c>
      <c r="C100" s="229">
        <f t="shared" si="6"/>
        <v>330</v>
      </c>
      <c r="D100" s="229">
        <v>9</v>
      </c>
      <c r="E100" s="229">
        <v>330</v>
      </c>
      <c r="F100" s="230">
        <v>0</v>
      </c>
      <c r="G100" s="230">
        <v>0</v>
      </c>
    </row>
    <row r="101" spans="1:9" ht="18.600000000000001" customHeight="1">
      <c r="A101" s="220" t="s">
        <v>184</v>
      </c>
      <c r="B101" s="229">
        <f t="shared" si="6"/>
        <v>10</v>
      </c>
      <c r="C101" s="229">
        <f t="shared" si="6"/>
        <v>360</v>
      </c>
      <c r="D101" s="229">
        <v>10</v>
      </c>
      <c r="E101" s="229">
        <v>360</v>
      </c>
      <c r="F101" s="230">
        <v>0</v>
      </c>
      <c r="G101" s="230">
        <v>0</v>
      </c>
    </row>
    <row r="102" spans="1:9" ht="11.25" customHeight="1">
      <c r="A102" s="77"/>
      <c r="B102" s="231"/>
      <c r="C102" s="231"/>
      <c r="D102" s="231"/>
      <c r="E102" s="231"/>
      <c r="F102" s="231"/>
      <c r="G102" s="232" t="s">
        <v>90</v>
      </c>
    </row>
    <row r="103" spans="1:9" ht="60" customHeight="1">
      <c r="A103" s="270" t="s">
        <v>283</v>
      </c>
      <c r="B103" s="270"/>
      <c r="C103" s="270"/>
      <c r="D103" s="270"/>
      <c r="E103" s="270"/>
      <c r="F103" s="270"/>
      <c r="G103" s="270"/>
    </row>
    <row r="104" spans="1:9" s="27" customFormat="1" ht="13.15" customHeight="1">
      <c r="A104" s="56" t="s">
        <v>277</v>
      </c>
      <c r="B104" s="56"/>
      <c r="C104" s="56"/>
      <c r="D104" s="233" t="s">
        <v>188</v>
      </c>
      <c r="E104" s="56"/>
      <c r="F104" s="56"/>
      <c r="G104" s="234" t="s">
        <v>89</v>
      </c>
    </row>
    <row r="105" spans="1:9" ht="20.100000000000001" customHeight="1">
      <c r="A105" s="271" t="s">
        <v>7</v>
      </c>
      <c r="B105" s="272" t="s">
        <v>103</v>
      </c>
      <c r="C105" s="273"/>
      <c r="D105" s="271" t="s">
        <v>134</v>
      </c>
      <c r="E105" s="271"/>
      <c r="F105" s="271" t="s">
        <v>135</v>
      </c>
      <c r="G105" s="271"/>
    </row>
    <row r="106" spans="1:9" ht="20.100000000000001" customHeight="1">
      <c r="A106" s="271"/>
      <c r="B106" s="178" t="s">
        <v>2</v>
      </c>
      <c r="C106" s="178" t="s">
        <v>3</v>
      </c>
      <c r="D106" s="178" t="s">
        <v>2</v>
      </c>
      <c r="E106" s="178" t="s">
        <v>3</v>
      </c>
      <c r="F106" s="178" t="s">
        <v>2</v>
      </c>
      <c r="G106" s="178" t="s">
        <v>3</v>
      </c>
    </row>
    <row r="107" spans="1:9" ht="25.5" customHeight="1">
      <c r="A107" s="235" t="s">
        <v>137</v>
      </c>
      <c r="B107" s="230">
        <f t="shared" ref="B107:C116" si="7">SUM(D107+F107)</f>
        <v>276</v>
      </c>
      <c r="C107" s="230">
        <f t="shared" si="7"/>
        <v>22245</v>
      </c>
      <c r="D107" s="230">
        <f>SUM(D108,D110,D112,D115,D118,D121,D129,D133,D136,D144,D148,D150,D154,D156,D160,D163,D167,D170,D172,D179,D185,D188,D191,D193,D198:D204)</f>
        <v>212</v>
      </c>
      <c r="E107" s="230">
        <f>SUM(E108,E110,E112,E115,E118,E121,E129,E133,E136,E144,E148,E150,E154,E156,E160,E163,E167,E170,E172,E179,E185,E188,E191,E193,E198:E204)</f>
        <v>21043</v>
      </c>
      <c r="F107" s="230">
        <f>SUM(F108,F110,F112,F115,F118,F121,F129,F133,F136,F144,F148,F150,F154,F156,F160,F163,F167,F170,F172,F179,F185,F188,F191,F193,F198:F204)</f>
        <v>64</v>
      </c>
      <c r="G107" s="230">
        <f>SUM(G108,G110,G112,G115,G118,G121,G129,G133,G136,G144,G148,G150,G154,G156,G160,G163,G167,G170,G172,G179,G185,G188,G191,G193,G198:G204)</f>
        <v>1202</v>
      </c>
    </row>
    <row r="108" spans="1:9" ht="18.600000000000001" customHeight="1">
      <c r="A108" s="236" t="s">
        <v>33</v>
      </c>
      <c r="B108" s="230">
        <f t="shared" si="7"/>
        <v>7</v>
      </c>
      <c r="C108" s="230">
        <f t="shared" si="7"/>
        <v>1356</v>
      </c>
      <c r="D108" s="230">
        <f>SUM(D109)</f>
        <v>7</v>
      </c>
      <c r="E108" s="230">
        <f>SUM(E109)</f>
        <v>1356</v>
      </c>
      <c r="F108" s="230">
        <f>SUM(F109)</f>
        <v>0</v>
      </c>
      <c r="G108" s="230">
        <f>SUM(G109)</f>
        <v>0</v>
      </c>
    </row>
    <row r="109" spans="1:9" ht="18.600000000000001" customHeight="1">
      <c r="A109" s="224" t="s">
        <v>34</v>
      </c>
      <c r="B109" s="222">
        <f t="shared" si="7"/>
        <v>7</v>
      </c>
      <c r="C109" s="222">
        <f t="shared" si="7"/>
        <v>1356</v>
      </c>
      <c r="D109" s="222">
        <v>7</v>
      </c>
      <c r="E109" s="222">
        <v>1356</v>
      </c>
      <c r="F109" s="223">
        <v>0</v>
      </c>
      <c r="G109" s="223">
        <v>0</v>
      </c>
    </row>
    <row r="110" spans="1:9" ht="18.600000000000001" customHeight="1">
      <c r="A110" s="236" t="s">
        <v>52</v>
      </c>
      <c r="B110" s="230">
        <f t="shared" si="7"/>
        <v>8</v>
      </c>
      <c r="C110" s="230">
        <f t="shared" si="7"/>
        <v>941</v>
      </c>
      <c r="D110" s="230">
        <f t="shared" ref="D110:G110" si="8">SUM(D111)</f>
        <v>7</v>
      </c>
      <c r="E110" s="230">
        <f t="shared" si="8"/>
        <v>886</v>
      </c>
      <c r="F110" s="230">
        <f t="shared" si="8"/>
        <v>1</v>
      </c>
      <c r="G110" s="230">
        <f t="shared" si="8"/>
        <v>55</v>
      </c>
      <c r="I110" s="237"/>
    </row>
    <row r="111" spans="1:9" ht="18.600000000000001" customHeight="1">
      <c r="A111" s="224" t="s">
        <v>53</v>
      </c>
      <c r="B111" s="222">
        <f t="shared" si="7"/>
        <v>8</v>
      </c>
      <c r="C111" s="222">
        <f t="shared" si="7"/>
        <v>941</v>
      </c>
      <c r="D111" s="222">
        <v>7</v>
      </c>
      <c r="E111" s="222">
        <v>886</v>
      </c>
      <c r="F111" s="223">
        <v>1</v>
      </c>
      <c r="G111" s="223">
        <v>55</v>
      </c>
    </row>
    <row r="112" spans="1:9" ht="18.600000000000001" customHeight="1">
      <c r="A112" s="236" t="s">
        <v>43</v>
      </c>
      <c r="B112" s="230">
        <f t="shared" si="7"/>
        <v>7</v>
      </c>
      <c r="C112" s="230">
        <f t="shared" si="7"/>
        <v>214</v>
      </c>
      <c r="D112" s="230">
        <f>SUM(D113:D114)</f>
        <v>2</v>
      </c>
      <c r="E112" s="230">
        <f>SUM(E113:E114)</f>
        <v>174</v>
      </c>
      <c r="F112" s="230">
        <f>SUM(F113:F114)</f>
        <v>5</v>
      </c>
      <c r="G112" s="230">
        <f>SUM(G113:G114)</f>
        <v>40</v>
      </c>
      <c r="I112" s="237"/>
    </row>
    <row r="113" spans="1:7" ht="18.600000000000001" customHeight="1">
      <c r="A113" s="224" t="s">
        <v>45</v>
      </c>
      <c r="B113" s="222">
        <f t="shared" si="7"/>
        <v>1</v>
      </c>
      <c r="C113" s="222">
        <f t="shared" si="7"/>
        <v>40</v>
      </c>
      <c r="D113" s="222">
        <v>1</v>
      </c>
      <c r="E113" s="222">
        <v>40</v>
      </c>
      <c r="F113" s="222">
        <v>0</v>
      </c>
      <c r="G113" s="222">
        <v>0</v>
      </c>
    </row>
    <row r="114" spans="1:7" ht="18.600000000000001" customHeight="1">
      <c r="A114" s="224" t="s">
        <v>44</v>
      </c>
      <c r="B114" s="222">
        <f t="shared" si="7"/>
        <v>6</v>
      </c>
      <c r="C114" s="222">
        <f t="shared" si="7"/>
        <v>174</v>
      </c>
      <c r="D114" s="222">
        <v>1</v>
      </c>
      <c r="E114" s="222">
        <v>134</v>
      </c>
      <c r="F114" s="222">
        <v>5</v>
      </c>
      <c r="G114" s="222">
        <v>40</v>
      </c>
    </row>
    <row r="115" spans="1:7" ht="18.600000000000001" customHeight="1">
      <c r="A115" s="236" t="s">
        <v>79</v>
      </c>
      <c r="B115" s="230">
        <f t="shared" si="7"/>
        <v>9</v>
      </c>
      <c r="C115" s="230">
        <f t="shared" si="7"/>
        <v>358</v>
      </c>
      <c r="D115" s="230">
        <f>SUM(D116:D117)</f>
        <v>4</v>
      </c>
      <c r="E115" s="230">
        <f>SUM(E116:E117)</f>
        <v>313</v>
      </c>
      <c r="F115" s="230">
        <f>SUM(F116:F117)</f>
        <v>5</v>
      </c>
      <c r="G115" s="230">
        <f>SUM(G116:G117)</f>
        <v>45</v>
      </c>
    </row>
    <row r="116" spans="1:7" ht="18.600000000000001" customHeight="1">
      <c r="A116" s="224" t="s">
        <v>80</v>
      </c>
      <c r="B116" s="222">
        <f t="shared" si="7"/>
        <v>8</v>
      </c>
      <c r="C116" s="222">
        <f t="shared" si="7"/>
        <v>333</v>
      </c>
      <c r="D116" s="222">
        <v>3</v>
      </c>
      <c r="E116" s="222">
        <v>288</v>
      </c>
      <c r="F116" s="222">
        <v>5</v>
      </c>
      <c r="G116" s="222">
        <v>45</v>
      </c>
    </row>
    <row r="117" spans="1:7" ht="18.600000000000001" customHeight="1">
      <c r="A117" s="224" t="s">
        <v>130</v>
      </c>
      <c r="B117" s="222">
        <f t="shared" ref="B117:B128" si="9">SUM(D117+F117)</f>
        <v>1</v>
      </c>
      <c r="C117" s="222">
        <f t="shared" ref="C117:C128" si="10">SUM(E117+G117)</f>
        <v>25</v>
      </c>
      <c r="D117" s="222">
        <v>1</v>
      </c>
      <c r="E117" s="222">
        <v>25</v>
      </c>
      <c r="F117" s="222">
        <v>0</v>
      </c>
      <c r="G117" s="222">
        <v>0</v>
      </c>
    </row>
    <row r="118" spans="1:7" ht="18.600000000000001" customHeight="1">
      <c r="A118" s="236" t="s">
        <v>16</v>
      </c>
      <c r="B118" s="230">
        <f t="shared" si="9"/>
        <v>5</v>
      </c>
      <c r="C118" s="230">
        <f t="shared" si="10"/>
        <v>640</v>
      </c>
      <c r="D118" s="230">
        <f>SUM(D119:D120)</f>
        <v>5</v>
      </c>
      <c r="E118" s="230">
        <f>SUM(E119:E120)</f>
        <v>640</v>
      </c>
      <c r="F118" s="230">
        <f>SUM(F119:F120)</f>
        <v>0</v>
      </c>
      <c r="G118" s="230">
        <f>SUM(G119:G120)</f>
        <v>0</v>
      </c>
    </row>
    <row r="119" spans="1:7" ht="18.600000000000001" customHeight="1">
      <c r="A119" s="224" t="s">
        <v>17</v>
      </c>
      <c r="B119" s="222">
        <f t="shared" si="9"/>
        <v>3</v>
      </c>
      <c r="C119" s="222">
        <f t="shared" si="10"/>
        <v>520</v>
      </c>
      <c r="D119" s="222">
        <v>3</v>
      </c>
      <c r="E119" s="222">
        <v>520</v>
      </c>
      <c r="F119" s="222">
        <v>0</v>
      </c>
      <c r="G119" s="222">
        <v>0</v>
      </c>
    </row>
    <row r="120" spans="1:7" ht="18.600000000000001" customHeight="1">
      <c r="A120" s="224" t="s">
        <v>18</v>
      </c>
      <c r="B120" s="222">
        <f t="shared" si="9"/>
        <v>2</v>
      </c>
      <c r="C120" s="222">
        <f t="shared" si="10"/>
        <v>120</v>
      </c>
      <c r="D120" s="222">
        <v>2</v>
      </c>
      <c r="E120" s="222">
        <v>120</v>
      </c>
      <c r="F120" s="222">
        <v>0</v>
      </c>
      <c r="G120" s="222">
        <v>0</v>
      </c>
    </row>
    <row r="121" spans="1:7" ht="18.600000000000001" customHeight="1">
      <c r="A121" s="236" t="s">
        <v>60</v>
      </c>
      <c r="B121" s="230">
        <f t="shared" si="9"/>
        <v>5</v>
      </c>
      <c r="C121" s="230">
        <f t="shared" si="10"/>
        <v>320</v>
      </c>
      <c r="D121" s="230">
        <f>SUM(D122:D128)</f>
        <v>4</v>
      </c>
      <c r="E121" s="230">
        <f>SUM(E122:E128)</f>
        <v>320</v>
      </c>
      <c r="F121" s="230">
        <f>SUM(F122:F128)</f>
        <v>1</v>
      </c>
      <c r="G121" s="230">
        <f>SUM(G122:G128)</f>
        <v>0</v>
      </c>
    </row>
    <row r="122" spans="1:7" ht="18.600000000000001" customHeight="1">
      <c r="A122" s="224" t="s">
        <v>61</v>
      </c>
      <c r="B122" s="222">
        <f t="shared" si="9"/>
        <v>4</v>
      </c>
      <c r="C122" s="222">
        <f t="shared" si="10"/>
        <v>280</v>
      </c>
      <c r="D122" s="222">
        <v>3</v>
      </c>
      <c r="E122" s="222">
        <v>280</v>
      </c>
      <c r="F122" s="222">
        <v>1</v>
      </c>
      <c r="G122" s="222">
        <v>0</v>
      </c>
    </row>
    <row r="123" spans="1:7" ht="18.600000000000001" customHeight="1">
      <c r="A123" s="224" t="s">
        <v>85</v>
      </c>
      <c r="B123" s="222">
        <f t="shared" si="9"/>
        <v>0</v>
      </c>
      <c r="C123" s="222">
        <f t="shared" si="10"/>
        <v>0</v>
      </c>
      <c r="D123" s="222">
        <v>0</v>
      </c>
      <c r="E123" s="222">
        <v>0</v>
      </c>
      <c r="F123" s="222">
        <v>0</v>
      </c>
      <c r="G123" s="222">
        <v>0</v>
      </c>
    </row>
    <row r="124" spans="1:7" ht="18.600000000000001" customHeight="1">
      <c r="A124" s="224" t="s">
        <v>84</v>
      </c>
      <c r="B124" s="222">
        <f t="shared" si="9"/>
        <v>0</v>
      </c>
      <c r="C124" s="222">
        <f t="shared" si="10"/>
        <v>0</v>
      </c>
      <c r="D124" s="222">
        <v>0</v>
      </c>
      <c r="E124" s="222">
        <v>0</v>
      </c>
      <c r="F124" s="222">
        <v>0</v>
      </c>
      <c r="G124" s="222">
        <v>0</v>
      </c>
    </row>
    <row r="125" spans="1:7" ht="18.600000000000001" customHeight="1">
      <c r="A125" s="224" t="s">
        <v>62</v>
      </c>
      <c r="B125" s="222">
        <f t="shared" si="9"/>
        <v>1</v>
      </c>
      <c r="C125" s="222">
        <f t="shared" si="10"/>
        <v>40</v>
      </c>
      <c r="D125" s="222">
        <v>1</v>
      </c>
      <c r="E125" s="222">
        <v>40</v>
      </c>
      <c r="F125" s="222">
        <v>0</v>
      </c>
      <c r="G125" s="222">
        <v>0</v>
      </c>
    </row>
    <row r="126" spans="1:7" ht="18.600000000000001" customHeight="1">
      <c r="A126" s="224" t="s">
        <v>88</v>
      </c>
      <c r="B126" s="222">
        <f t="shared" si="9"/>
        <v>0</v>
      </c>
      <c r="C126" s="222">
        <f t="shared" si="10"/>
        <v>0</v>
      </c>
      <c r="D126" s="222">
        <v>0</v>
      </c>
      <c r="E126" s="222">
        <v>0</v>
      </c>
      <c r="F126" s="222">
        <v>0</v>
      </c>
      <c r="G126" s="222">
        <v>0</v>
      </c>
    </row>
    <row r="127" spans="1:7" ht="18.600000000000001" customHeight="1">
      <c r="A127" s="224" t="s">
        <v>86</v>
      </c>
      <c r="B127" s="222">
        <f t="shared" si="9"/>
        <v>0</v>
      </c>
      <c r="C127" s="222">
        <f t="shared" si="10"/>
        <v>0</v>
      </c>
      <c r="D127" s="222">
        <v>0</v>
      </c>
      <c r="E127" s="222">
        <v>0</v>
      </c>
      <c r="F127" s="222">
        <v>0</v>
      </c>
      <c r="G127" s="222">
        <v>0</v>
      </c>
    </row>
    <row r="128" spans="1:7" ht="18.600000000000001" customHeight="1">
      <c r="A128" s="224" t="s">
        <v>87</v>
      </c>
      <c r="B128" s="222">
        <f t="shared" si="9"/>
        <v>0</v>
      </c>
      <c r="C128" s="222">
        <f t="shared" si="10"/>
        <v>0</v>
      </c>
      <c r="D128" s="222">
        <v>0</v>
      </c>
      <c r="E128" s="222">
        <v>0</v>
      </c>
      <c r="F128" s="222">
        <v>0</v>
      </c>
      <c r="G128" s="222">
        <v>0</v>
      </c>
    </row>
    <row r="129" spans="1:7" ht="18.600000000000001" customHeight="1">
      <c r="A129" s="236" t="s">
        <v>56</v>
      </c>
      <c r="B129" s="230">
        <f>SUM(D129+F129)</f>
        <v>12</v>
      </c>
      <c r="C129" s="230">
        <f>SUM(E129+G129)</f>
        <v>705</v>
      </c>
      <c r="D129" s="230">
        <f>SUM(D130:D132)</f>
        <v>12</v>
      </c>
      <c r="E129" s="230">
        <f>SUM(E130:E132)</f>
        <v>705</v>
      </c>
      <c r="F129" s="230">
        <f>SUM(F130:F132)</f>
        <v>0</v>
      </c>
      <c r="G129" s="230">
        <f>SUM(G130:G132)</f>
        <v>0</v>
      </c>
    </row>
    <row r="130" spans="1:7" ht="18.600000000000001" customHeight="1">
      <c r="A130" s="224" t="s">
        <v>57</v>
      </c>
      <c r="B130" s="222">
        <f t="shared" ref="B130:C138" si="11">SUM(D130+F130)</f>
        <v>8</v>
      </c>
      <c r="C130" s="222">
        <f t="shared" si="11"/>
        <v>545</v>
      </c>
      <c r="D130" s="222">
        <v>8</v>
      </c>
      <c r="E130" s="222">
        <v>545</v>
      </c>
      <c r="F130" s="222">
        <v>0</v>
      </c>
      <c r="G130" s="222">
        <v>0</v>
      </c>
    </row>
    <row r="131" spans="1:7" ht="18.600000000000001" customHeight="1">
      <c r="A131" s="224" t="s">
        <v>59</v>
      </c>
      <c r="B131" s="222">
        <f t="shared" si="11"/>
        <v>1</v>
      </c>
      <c r="C131" s="222">
        <f t="shared" si="11"/>
        <v>40</v>
      </c>
      <c r="D131" s="222">
        <v>1</v>
      </c>
      <c r="E131" s="222">
        <v>40</v>
      </c>
      <c r="F131" s="222">
        <v>0</v>
      </c>
      <c r="G131" s="222">
        <v>0</v>
      </c>
    </row>
    <row r="132" spans="1:7" ht="18.600000000000001" customHeight="1">
      <c r="A132" s="224" t="s">
        <v>58</v>
      </c>
      <c r="B132" s="222">
        <f t="shared" si="11"/>
        <v>3</v>
      </c>
      <c r="C132" s="222">
        <f t="shared" si="11"/>
        <v>120</v>
      </c>
      <c r="D132" s="222">
        <v>3</v>
      </c>
      <c r="E132" s="222">
        <v>120</v>
      </c>
      <c r="F132" s="222">
        <v>0</v>
      </c>
      <c r="G132" s="222">
        <v>0</v>
      </c>
    </row>
    <row r="133" spans="1:7" ht="18.600000000000001" customHeight="1">
      <c r="A133" s="236" t="s">
        <v>27</v>
      </c>
      <c r="B133" s="230">
        <f t="shared" si="11"/>
        <v>6</v>
      </c>
      <c r="C133" s="230">
        <f t="shared" si="11"/>
        <v>248</v>
      </c>
      <c r="D133" s="230">
        <f>SUM(D134:D135)</f>
        <v>6</v>
      </c>
      <c r="E133" s="230">
        <f>SUM(E134:E135)</f>
        <v>248</v>
      </c>
      <c r="F133" s="230">
        <f>SUM(F134:F137)</f>
        <v>0</v>
      </c>
      <c r="G133" s="230">
        <f>SUM(G134:G137)</f>
        <v>0</v>
      </c>
    </row>
    <row r="134" spans="1:7" ht="18.600000000000001" customHeight="1">
      <c r="A134" s="224" t="s">
        <v>28</v>
      </c>
      <c r="B134" s="222">
        <f t="shared" si="11"/>
        <v>5</v>
      </c>
      <c r="C134" s="222">
        <f t="shared" si="11"/>
        <v>208</v>
      </c>
      <c r="D134" s="222">
        <v>5</v>
      </c>
      <c r="E134" s="222">
        <v>208</v>
      </c>
      <c r="F134" s="222">
        <v>0</v>
      </c>
      <c r="G134" s="222">
        <v>0</v>
      </c>
    </row>
    <row r="135" spans="1:7" ht="18.600000000000001" customHeight="1">
      <c r="A135" s="224" t="s">
        <v>196</v>
      </c>
      <c r="B135" s="222">
        <f t="shared" si="11"/>
        <v>1</v>
      </c>
      <c r="C135" s="238">
        <f t="shared" si="11"/>
        <v>40</v>
      </c>
      <c r="D135" s="222">
        <v>1</v>
      </c>
      <c r="E135" s="222">
        <v>40</v>
      </c>
      <c r="F135" s="222">
        <v>0</v>
      </c>
      <c r="G135" s="222">
        <v>0</v>
      </c>
    </row>
    <row r="136" spans="1:7" ht="18.600000000000001" customHeight="1">
      <c r="A136" s="236" t="s">
        <v>35</v>
      </c>
      <c r="B136" s="230">
        <f t="shared" si="11"/>
        <v>10</v>
      </c>
      <c r="C136" s="230">
        <f t="shared" si="11"/>
        <v>723</v>
      </c>
      <c r="D136" s="230">
        <f>SUM(D137:D138)</f>
        <v>10</v>
      </c>
      <c r="E136" s="230">
        <f>SUM(E137:E138)</f>
        <v>723</v>
      </c>
      <c r="F136" s="230">
        <f>SUM(F137:F138)</f>
        <v>0</v>
      </c>
      <c r="G136" s="230">
        <f>SUM(G137:G138)</f>
        <v>0</v>
      </c>
    </row>
    <row r="137" spans="1:7" ht="18.600000000000001" customHeight="1">
      <c r="A137" s="224" t="s">
        <v>37</v>
      </c>
      <c r="B137" s="222">
        <f t="shared" si="11"/>
        <v>1</v>
      </c>
      <c r="C137" s="222">
        <f t="shared" si="11"/>
        <v>40</v>
      </c>
      <c r="D137" s="222">
        <v>1</v>
      </c>
      <c r="E137" s="222">
        <v>40</v>
      </c>
      <c r="F137" s="222">
        <v>0</v>
      </c>
      <c r="G137" s="222">
        <v>0</v>
      </c>
    </row>
    <row r="138" spans="1:7" ht="18.600000000000001" customHeight="1">
      <c r="A138" s="224" t="s">
        <v>36</v>
      </c>
      <c r="B138" s="222">
        <f t="shared" si="11"/>
        <v>9</v>
      </c>
      <c r="C138" s="222">
        <f t="shared" si="11"/>
        <v>683</v>
      </c>
      <c r="D138" s="222">
        <v>9</v>
      </c>
      <c r="E138" s="222">
        <v>683</v>
      </c>
      <c r="F138" s="222">
        <v>0</v>
      </c>
      <c r="G138" s="222">
        <v>0</v>
      </c>
    </row>
    <row r="139" spans="1:7" ht="13.15" customHeight="1">
      <c r="G139" s="234" t="s">
        <v>90</v>
      </c>
    </row>
    <row r="140" spans="1:7" ht="60" customHeight="1">
      <c r="A140" s="270" t="s">
        <v>283</v>
      </c>
      <c r="B140" s="270"/>
      <c r="C140" s="270"/>
      <c r="D140" s="270"/>
      <c r="E140" s="270"/>
      <c r="F140" s="270"/>
      <c r="G140" s="270"/>
    </row>
    <row r="141" spans="1:7" s="27" customFormat="1" ht="13.15" customHeight="1">
      <c r="A141" s="56" t="s">
        <v>277</v>
      </c>
      <c r="B141" s="56"/>
      <c r="C141" s="56"/>
      <c r="D141" s="233" t="s">
        <v>188</v>
      </c>
      <c r="E141" s="56"/>
      <c r="F141" s="56"/>
      <c r="G141" s="234" t="s">
        <v>89</v>
      </c>
    </row>
    <row r="142" spans="1:7" ht="20.100000000000001" customHeight="1">
      <c r="A142" s="271" t="s">
        <v>7</v>
      </c>
      <c r="B142" s="272" t="s">
        <v>103</v>
      </c>
      <c r="C142" s="273"/>
      <c r="D142" s="271" t="s">
        <v>134</v>
      </c>
      <c r="E142" s="271"/>
      <c r="F142" s="271" t="s">
        <v>135</v>
      </c>
      <c r="G142" s="271"/>
    </row>
    <row r="143" spans="1:7" ht="20.100000000000001" customHeight="1">
      <c r="A143" s="271"/>
      <c r="B143" s="178" t="s">
        <v>2</v>
      </c>
      <c r="C143" s="178" t="s">
        <v>3</v>
      </c>
      <c r="D143" s="178" t="s">
        <v>2</v>
      </c>
      <c r="E143" s="178" t="s">
        <v>3</v>
      </c>
      <c r="F143" s="178" t="s">
        <v>2</v>
      </c>
      <c r="G143" s="178" t="s">
        <v>3</v>
      </c>
    </row>
    <row r="144" spans="1:7" ht="18.600000000000001" customHeight="1">
      <c r="A144" s="236" t="s">
        <v>29</v>
      </c>
      <c r="B144" s="230">
        <f t="shared" ref="B144:C159" si="12">SUM(D144+F144)</f>
        <v>9</v>
      </c>
      <c r="C144" s="230">
        <f t="shared" si="12"/>
        <v>590</v>
      </c>
      <c r="D144" s="230">
        <f>SUM(D145:D147)</f>
        <v>9</v>
      </c>
      <c r="E144" s="230">
        <f>SUM(E145:E147)</f>
        <v>590</v>
      </c>
      <c r="F144" s="230">
        <f>SUM(F145:F147)</f>
        <v>0</v>
      </c>
      <c r="G144" s="230">
        <f>SUM(G145:G147)</f>
        <v>0</v>
      </c>
    </row>
    <row r="145" spans="1:7" ht="18.600000000000001" customHeight="1">
      <c r="A145" s="224" t="s">
        <v>31</v>
      </c>
      <c r="B145" s="222">
        <f t="shared" si="12"/>
        <v>3</v>
      </c>
      <c r="C145" s="222">
        <f t="shared" si="12"/>
        <v>52</v>
      </c>
      <c r="D145" s="222">
        <v>3</v>
      </c>
      <c r="E145" s="222">
        <v>52</v>
      </c>
      <c r="F145" s="222">
        <v>0</v>
      </c>
      <c r="G145" s="222">
        <v>0</v>
      </c>
    </row>
    <row r="146" spans="1:7" ht="18.600000000000001" customHeight="1">
      <c r="A146" s="224" t="s">
        <v>30</v>
      </c>
      <c r="B146" s="222">
        <f t="shared" si="12"/>
        <v>4</v>
      </c>
      <c r="C146" s="222">
        <f t="shared" si="12"/>
        <v>388</v>
      </c>
      <c r="D146" s="222">
        <v>4</v>
      </c>
      <c r="E146" s="222">
        <v>388</v>
      </c>
      <c r="F146" s="222">
        <v>0</v>
      </c>
      <c r="G146" s="222">
        <v>0</v>
      </c>
    </row>
    <row r="147" spans="1:7" ht="18.600000000000001" customHeight="1">
      <c r="A147" s="224" t="s">
        <v>32</v>
      </c>
      <c r="B147" s="222">
        <f t="shared" si="12"/>
        <v>2</v>
      </c>
      <c r="C147" s="222">
        <f t="shared" si="12"/>
        <v>150</v>
      </c>
      <c r="D147" s="222">
        <v>2</v>
      </c>
      <c r="E147" s="222">
        <v>150</v>
      </c>
      <c r="F147" s="222">
        <v>0</v>
      </c>
      <c r="G147" s="222">
        <v>0</v>
      </c>
    </row>
    <row r="148" spans="1:7" ht="18.600000000000001" customHeight="1">
      <c r="A148" s="236" t="s">
        <v>25</v>
      </c>
      <c r="B148" s="230">
        <f t="shared" si="12"/>
        <v>7</v>
      </c>
      <c r="C148" s="230">
        <f t="shared" si="12"/>
        <v>520</v>
      </c>
      <c r="D148" s="230">
        <f>SUM(D149)</f>
        <v>7</v>
      </c>
      <c r="E148" s="230">
        <f>SUM(E149)</f>
        <v>520</v>
      </c>
      <c r="F148" s="230">
        <f>SUM(F149)</f>
        <v>0</v>
      </c>
      <c r="G148" s="230">
        <f>SUM(G149)</f>
        <v>0</v>
      </c>
    </row>
    <row r="149" spans="1:7" ht="18.600000000000001" customHeight="1">
      <c r="A149" s="224" t="s">
        <v>26</v>
      </c>
      <c r="B149" s="222">
        <f t="shared" si="12"/>
        <v>7</v>
      </c>
      <c r="C149" s="222">
        <f t="shared" si="12"/>
        <v>520</v>
      </c>
      <c r="D149" s="222">
        <v>7</v>
      </c>
      <c r="E149" s="222">
        <v>520</v>
      </c>
      <c r="F149" s="222">
        <v>0</v>
      </c>
      <c r="G149" s="222">
        <v>0</v>
      </c>
    </row>
    <row r="150" spans="1:7" ht="18.600000000000001" customHeight="1">
      <c r="A150" s="236" t="s">
        <v>46</v>
      </c>
      <c r="B150" s="230">
        <f t="shared" si="12"/>
        <v>0</v>
      </c>
      <c r="C150" s="230">
        <f t="shared" si="12"/>
        <v>0</v>
      </c>
      <c r="D150" s="230">
        <f>SUM(D151:D153)</f>
        <v>0</v>
      </c>
      <c r="E150" s="230">
        <f>SUM(E151:E153)</f>
        <v>0</v>
      </c>
      <c r="F150" s="230">
        <f>SUM(F151:F153)</f>
        <v>0</v>
      </c>
      <c r="G150" s="230">
        <f>SUM(G151:G153)</f>
        <v>0</v>
      </c>
    </row>
    <row r="151" spans="1:7" ht="18.600000000000001" customHeight="1">
      <c r="A151" s="224" t="s">
        <v>48</v>
      </c>
      <c r="B151" s="222">
        <f t="shared" si="12"/>
        <v>0</v>
      </c>
      <c r="C151" s="222">
        <f t="shared" si="12"/>
        <v>0</v>
      </c>
      <c r="D151" s="222">
        <v>0</v>
      </c>
      <c r="E151" s="222">
        <v>0</v>
      </c>
      <c r="F151" s="222">
        <v>0</v>
      </c>
      <c r="G151" s="222">
        <v>0</v>
      </c>
    </row>
    <row r="152" spans="1:7" ht="18.600000000000001" customHeight="1">
      <c r="A152" s="224" t="s">
        <v>49</v>
      </c>
      <c r="B152" s="222">
        <f t="shared" si="12"/>
        <v>0</v>
      </c>
      <c r="C152" s="222">
        <f t="shared" si="12"/>
        <v>0</v>
      </c>
      <c r="D152" s="222">
        <v>0</v>
      </c>
      <c r="E152" s="222">
        <v>0</v>
      </c>
      <c r="F152" s="222">
        <v>0</v>
      </c>
      <c r="G152" s="222">
        <v>0</v>
      </c>
    </row>
    <row r="153" spans="1:7" ht="18.600000000000001" customHeight="1">
      <c r="A153" s="224" t="s">
        <v>47</v>
      </c>
      <c r="B153" s="222">
        <f t="shared" si="12"/>
        <v>0</v>
      </c>
      <c r="C153" s="222">
        <f t="shared" si="12"/>
        <v>0</v>
      </c>
      <c r="D153" s="222">
        <v>0</v>
      </c>
      <c r="E153" s="222">
        <v>0</v>
      </c>
      <c r="F153" s="222">
        <v>0</v>
      </c>
      <c r="G153" s="222">
        <v>0</v>
      </c>
    </row>
    <row r="154" spans="1:7" ht="18.600000000000001" customHeight="1">
      <c r="A154" s="236" t="s">
        <v>54</v>
      </c>
      <c r="B154" s="230">
        <f t="shared" si="12"/>
        <v>9</v>
      </c>
      <c r="C154" s="230">
        <f t="shared" si="12"/>
        <v>466</v>
      </c>
      <c r="D154" s="230">
        <f>SUM(D155)</f>
        <v>5</v>
      </c>
      <c r="E154" s="230">
        <f>SUM(E155)</f>
        <v>466</v>
      </c>
      <c r="F154" s="230">
        <f>SUM(F155)</f>
        <v>4</v>
      </c>
      <c r="G154" s="230">
        <f>SUM(G155)</f>
        <v>0</v>
      </c>
    </row>
    <row r="155" spans="1:7" ht="18.600000000000001" customHeight="1">
      <c r="A155" s="224" t="s">
        <v>55</v>
      </c>
      <c r="B155" s="222">
        <f t="shared" si="12"/>
        <v>9</v>
      </c>
      <c r="C155" s="222">
        <f t="shared" si="12"/>
        <v>466</v>
      </c>
      <c r="D155" s="222">
        <v>5</v>
      </c>
      <c r="E155" s="222">
        <v>466</v>
      </c>
      <c r="F155" s="222">
        <v>4</v>
      </c>
      <c r="G155" s="222">
        <v>0</v>
      </c>
    </row>
    <row r="156" spans="1:7" ht="18.600000000000001" customHeight="1">
      <c r="A156" s="236" t="s">
        <v>66</v>
      </c>
      <c r="B156" s="230">
        <f t="shared" si="12"/>
        <v>10</v>
      </c>
      <c r="C156" s="230">
        <f t="shared" si="12"/>
        <v>799</v>
      </c>
      <c r="D156" s="230">
        <f>SUM(D157:D159)</f>
        <v>7</v>
      </c>
      <c r="E156" s="230">
        <f>SUM(E157:E159)</f>
        <v>762</v>
      </c>
      <c r="F156" s="230">
        <f>SUM(F157:F159)</f>
        <v>3</v>
      </c>
      <c r="G156" s="230">
        <f>SUM(G157:G159)</f>
        <v>37</v>
      </c>
    </row>
    <row r="157" spans="1:7" ht="18.600000000000001" customHeight="1">
      <c r="A157" s="224" t="s">
        <v>68</v>
      </c>
      <c r="B157" s="222">
        <f t="shared" si="12"/>
        <v>0</v>
      </c>
      <c r="C157" s="222">
        <f t="shared" si="12"/>
        <v>0</v>
      </c>
      <c r="D157" s="222">
        <v>0</v>
      </c>
      <c r="E157" s="222">
        <v>0</v>
      </c>
      <c r="F157" s="222">
        <v>0</v>
      </c>
      <c r="G157" s="222">
        <v>0</v>
      </c>
    </row>
    <row r="158" spans="1:7" ht="18.600000000000001" customHeight="1">
      <c r="A158" s="224" t="s">
        <v>69</v>
      </c>
      <c r="B158" s="222">
        <f t="shared" si="12"/>
        <v>2</v>
      </c>
      <c r="C158" s="222">
        <f t="shared" si="12"/>
        <v>140</v>
      </c>
      <c r="D158" s="222">
        <v>2</v>
      </c>
      <c r="E158" s="222">
        <v>140</v>
      </c>
      <c r="F158" s="222">
        <v>0</v>
      </c>
      <c r="G158" s="222">
        <v>0</v>
      </c>
    </row>
    <row r="159" spans="1:7" ht="18.600000000000001" customHeight="1">
      <c r="A159" s="224" t="s">
        <v>67</v>
      </c>
      <c r="B159" s="222">
        <f t="shared" si="12"/>
        <v>8</v>
      </c>
      <c r="C159" s="222">
        <f t="shared" si="12"/>
        <v>659</v>
      </c>
      <c r="D159" s="222">
        <v>5</v>
      </c>
      <c r="E159" s="222">
        <v>622</v>
      </c>
      <c r="F159" s="222">
        <v>3</v>
      </c>
      <c r="G159" s="222">
        <v>37</v>
      </c>
    </row>
    <row r="160" spans="1:7" ht="18.600000000000001" customHeight="1">
      <c r="A160" s="236" t="s">
        <v>81</v>
      </c>
      <c r="B160" s="230">
        <f t="shared" ref="B160:C199" si="13">SUM(D160+F160)</f>
        <v>6</v>
      </c>
      <c r="C160" s="230">
        <f t="shared" si="13"/>
        <v>460</v>
      </c>
      <c r="D160" s="230">
        <f>SUM(D161:D162)</f>
        <v>6</v>
      </c>
      <c r="E160" s="230">
        <f>SUM(E161:E162)</f>
        <v>460</v>
      </c>
      <c r="F160" s="230">
        <f>SUM(F161:F162)</f>
        <v>0</v>
      </c>
      <c r="G160" s="230">
        <f>SUM(G161:G162)</f>
        <v>0</v>
      </c>
    </row>
    <row r="161" spans="1:7" ht="18.600000000000001" customHeight="1">
      <c r="A161" s="224" t="s">
        <v>83</v>
      </c>
      <c r="B161" s="222">
        <f t="shared" si="13"/>
        <v>1</v>
      </c>
      <c r="C161" s="222">
        <f t="shared" si="13"/>
        <v>100</v>
      </c>
      <c r="D161" s="222">
        <v>1</v>
      </c>
      <c r="E161" s="222">
        <v>100</v>
      </c>
      <c r="F161" s="222">
        <v>0</v>
      </c>
      <c r="G161" s="222">
        <v>0</v>
      </c>
    </row>
    <row r="162" spans="1:7" ht="18.600000000000001" customHeight="1">
      <c r="A162" s="224" t="s">
        <v>82</v>
      </c>
      <c r="B162" s="222">
        <f t="shared" si="13"/>
        <v>5</v>
      </c>
      <c r="C162" s="222">
        <f t="shared" si="13"/>
        <v>360</v>
      </c>
      <c r="D162" s="222">
        <v>5</v>
      </c>
      <c r="E162" s="222">
        <v>360</v>
      </c>
      <c r="F162" s="222">
        <v>0</v>
      </c>
      <c r="G162" s="222">
        <v>0</v>
      </c>
    </row>
    <row r="163" spans="1:7" ht="18.600000000000001" customHeight="1">
      <c r="A163" s="236" t="s">
        <v>38</v>
      </c>
      <c r="B163" s="230">
        <f t="shared" si="13"/>
        <v>12</v>
      </c>
      <c r="C163" s="230">
        <f t="shared" si="13"/>
        <v>748</v>
      </c>
      <c r="D163" s="230">
        <f>SUM(D164:D166)</f>
        <v>12</v>
      </c>
      <c r="E163" s="230">
        <f>SUM(E164:E166)</f>
        <v>748</v>
      </c>
      <c r="F163" s="230">
        <f>SUM(F164:F166)</f>
        <v>0</v>
      </c>
      <c r="G163" s="230">
        <f>SUM(G164:G166)</f>
        <v>0</v>
      </c>
    </row>
    <row r="164" spans="1:7" ht="18.600000000000001" customHeight="1">
      <c r="A164" s="224" t="s">
        <v>41</v>
      </c>
      <c r="B164" s="222">
        <f t="shared" si="13"/>
        <v>4</v>
      </c>
      <c r="C164" s="222">
        <f t="shared" si="13"/>
        <v>198</v>
      </c>
      <c r="D164" s="222">
        <v>4</v>
      </c>
      <c r="E164" s="222">
        <v>198</v>
      </c>
      <c r="F164" s="222">
        <v>0</v>
      </c>
      <c r="G164" s="222">
        <v>0</v>
      </c>
    </row>
    <row r="165" spans="1:7" ht="18.600000000000001" customHeight="1">
      <c r="A165" s="224" t="s">
        <v>39</v>
      </c>
      <c r="B165" s="222">
        <f t="shared" si="13"/>
        <v>6</v>
      </c>
      <c r="C165" s="222">
        <f t="shared" si="13"/>
        <v>524</v>
      </c>
      <c r="D165" s="222">
        <v>6</v>
      </c>
      <c r="E165" s="222">
        <v>524</v>
      </c>
      <c r="F165" s="222">
        <v>0</v>
      </c>
      <c r="G165" s="222">
        <v>0</v>
      </c>
    </row>
    <row r="166" spans="1:7" ht="18.600000000000001" customHeight="1">
      <c r="A166" s="224" t="s">
        <v>40</v>
      </c>
      <c r="B166" s="222">
        <f t="shared" si="13"/>
        <v>2</v>
      </c>
      <c r="C166" s="222">
        <f t="shared" si="13"/>
        <v>26</v>
      </c>
      <c r="D166" s="222">
        <v>2</v>
      </c>
      <c r="E166" s="222">
        <v>26</v>
      </c>
      <c r="F166" s="222">
        <v>0</v>
      </c>
      <c r="G166" s="222">
        <v>0</v>
      </c>
    </row>
    <row r="167" spans="1:7" ht="18.600000000000001" customHeight="1">
      <c r="A167" s="236" t="s">
        <v>19</v>
      </c>
      <c r="B167" s="230">
        <f t="shared" si="13"/>
        <v>10</v>
      </c>
      <c r="C167" s="230">
        <f t="shared" si="13"/>
        <v>772</v>
      </c>
      <c r="D167" s="230">
        <f>SUM(D168:D169)</f>
        <v>8</v>
      </c>
      <c r="E167" s="230">
        <f>SUM(E168:E169)</f>
        <v>772</v>
      </c>
      <c r="F167" s="230">
        <f>SUM(F168:F169)</f>
        <v>2</v>
      </c>
      <c r="G167" s="230">
        <f>SUM(G168:G169)</f>
        <v>0</v>
      </c>
    </row>
    <row r="168" spans="1:7" ht="18.600000000000001" customHeight="1">
      <c r="A168" s="224" t="s">
        <v>20</v>
      </c>
      <c r="B168" s="222">
        <f t="shared" si="13"/>
        <v>8</v>
      </c>
      <c r="C168" s="222">
        <f t="shared" si="13"/>
        <v>604</v>
      </c>
      <c r="D168" s="222">
        <v>6</v>
      </c>
      <c r="E168" s="222">
        <v>604</v>
      </c>
      <c r="F168" s="222">
        <v>2</v>
      </c>
      <c r="G168" s="222">
        <v>0</v>
      </c>
    </row>
    <row r="169" spans="1:7" ht="18.600000000000001" customHeight="1">
      <c r="A169" s="224" t="s">
        <v>21</v>
      </c>
      <c r="B169" s="222">
        <f t="shared" si="13"/>
        <v>2</v>
      </c>
      <c r="C169" s="222">
        <f t="shared" si="13"/>
        <v>168</v>
      </c>
      <c r="D169" s="222">
        <v>2</v>
      </c>
      <c r="E169" s="222">
        <v>168</v>
      </c>
      <c r="F169" s="222">
        <v>0</v>
      </c>
      <c r="G169" s="222">
        <v>0</v>
      </c>
    </row>
    <row r="170" spans="1:7" ht="18.600000000000001" customHeight="1">
      <c r="A170" s="236" t="s">
        <v>14</v>
      </c>
      <c r="B170" s="230">
        <f t="shared" si="13"/>
        <v>10</v>
      </c>
      <c r="C170" s="230">
        <f t="shared" si="13"/>
        <v>1044</v>
      </c>
      <c r="D170" s="230">
        <f>SUM(D171)</f>
        <v>9</v>
      </c>
      <c r="E170" s="230">
        <f>SUM(E171)</f>
        <v>1024</v>
      </c>
      <c r="F170" s="230">
        <f>SUM(F171)</f>
        <v>1</v>
      </c>
      <c r="G170" s="230">
        <f>SUM(G171)</f>
        <v>20</v>
      </c>
    </row>
    <row r="171" spans="1:7" ht="18.600000000000001" customHeight="1">
      <c r="A171" s="224" t="s">
        <v>15</v>
      </c>
      <c r="B171" s="222">
        <f t="shared" si="13"/>
        <v>10</v>
      </c>
      <c r="C171" s="222">
        <f t="shared" si="13"/>
        <v>1044</v>
      </c>
      <c r="D171" s="222">
        <v>9</v>
      </c>
      <c r="E171" s="222">
        <v>1024</v>
      </c>
      <c r="F171" s="222">
        <v>1</v>
      </c>
      <c r="G171" s="222">
        <v>20</v>
      </c>
    </row>
    <row r="172" spans="1:7" ht="18.600000000000001" customHeight="1">
      <c r="A172" s="236" t="s">
        <v>12</v>
      </c>
      <c r="B172" s="230">
        <f t="shared" si="13"/>
        <v>52</v>
      </c>
      <c r="C172" s="230">
        <f t="shared" si="13"/>
        <v>6020</v>
      </c>
      <c r="D172" s="230">
        <f>SUM(D173)</f>
        <v>22</v>
      </c>
      <c r="E172" s="230">
        <f>SUM(E173)</f>
        <v>5292</v>
      </c>
      <c r="F172" s="230">
        <f>SUM(F173)</f>
        <v>30</v>
      </c>
      <c r="G172" s="230">
        <f>SUM(G173)</f>
        <v>728</v>
      </c>
    </row>
    <row r="173" spans="1:7" ht="18.600000000000001" customHeight="1">
      <c r="A173" s="224" t="s">
        <v>13</v>
      </c>
      <c r="B173" s="222">
        <f t="shared" si="13"/>
        <v>52</v>
      </c>
      <c r="C173" s="222">
        <f t="shared" si="13"/>
        <v>6020</v>
      </c>
      <c r="D173" s="222">
        <v>22</v>
      </c>
      <c r="E173" s="222">
        <v>5292</v>
      </c>
      <c r="F173" s="222">
        <v>30</v>
      </c>
      <c r="G173" s="222">
        <v>728</v>
      </c>
    </row>
    <row r="174" spans="1:7">
      <c r="A174" s="77"/>
      <c r="B174" s="228"/>
      <c r="C174" s="228"/>
      <c r="D174" s="228"/>
      <c r="E174" s="228"/>
      <c r="F174" s="228"/>
      <c r="G174" s="234" t="s">
        <v>90</v>
      </c>
    </row>
    <row r="175" spans="1:7" ht="60" customHeight="1">
      <c r="A175" s="270" t="s">
        <v>283</v>
      </c>
      <c r="B175" s="270"/>
      <c r="C175" s="270"/>
      <c r="D175" s="270"/>
      <c r="E175" s="270"/>
      <c r="F175" s="270"/>
      <c r="G175" s="270"/>
    </row>
    <row r="176" spans="1:7" s="27" customFormat="1" ht="13.15" customHeight="1">
      <c r="A176" s="56" t="s">
        <v>277</v>
      </c>
      <c r="B176" s="56"/>
      <c r="C176" s="56"/>
      <c r="D176" s="233" t="s">
        <v>188</v>
      </c>
      <c r="E176" s="56"/>
      <c r="F176" s="56"/>
      <c r="G176" s="234" t="s">
        <v>89</v>
      </c>
    </row>
    <row r="177" spans="1:7" ht="20.100000000000001" customHeight="1">
      <c r="A177" s="271" t="s">
        <v>7</v>
      </c>
      <c r="B177" s="272" t="s">
        <v>103</v>
      </c>
      <c r="C177" s="273"/>
      <c r="D177" s="271" t="s">
        <v>134</v>
      </c>
      <c r="E177" s="271"/>
      <c r="F177" s="271" t="s">
        <v>135</v>
      </c>
      <c r="G177" s="271"/>
    </row>
    <row r="178" spans="1:7" ht="20.100000000000001" customHeight="1">
      <c r="A178" s="271"/>
      <c r="B178" s="178" t="s">
        <v>2</v>
      </c>
      <c r="C178" s="178" t="s">
        <v>3</v>
      </c>
      <c r="D178" s="178" t="s">
        <v>2</v>
      </c>
      <c r="E178" s="178" t="s">
        <v>3</v>
      </c>
      <c r="F178" s="178" t="s">
        <v>2</v>
      </c>
      <c r="G178" s="178" t="s">
        <v>3</v>
      </c>
    </row>
    <row r="179" spans="1:7" ht="18.600000000000001" customHeight="1">
      <c r="A179" s="236" t="s">
        <v>73</v>
      </c>
      <c r="B179" s="230">
        <f t="shared" ref="B179:C184" si="14">SUM(D179+F179)</f>
        <v>5</v>
      </c>
      <c r="C179" s="230">
        <f t="shared" si="14"/>
        <v>447</v>
      </c>
      <c r="D179" s="230">
        <f t="shared" ref="D179:G179" si="15">SUM(D180:D184)</f>
        <v>4</v>
      </c>
      <c r="E179" s="230">
        <f t="shared" si="15"/>
        <v>430</v>
      </c>
      <c r="F179" s="230">
        <f t="shared" si="15"/>
        <v>1</v>
      </c>
      <c r="G179" s="230">
        <f t="shared" si="15"/>
        <v>17</v>
      </c>
    </row>
    <row r="180" spans="1:7" ht="18.600000000000001" customHeight="1">
      <c r="A180" s="224" t="s">
        <v>74</v>
      </c>
      <c r="B180" s="222">
        <f t="shared" si="14"/>
        <v>2</v>
      </c>
      <c r="C180" s="222">
        <f t="shared" si="14"/>
        <v>227</v>
      </c>
      <c r="D180" s="222">
        <v>1</v>
      </c>
      <c r="E180" s="222">
        <v>210</v>
      </c>
      <c r="F180" s="222">
        <v>1</v>
      </c>
      <c r="G180" s="222">
        <v>17</v>
      </c>
    </row>
    <row r="181" spans="1:7" ht="18.600000000000001" customHeight="1">
      <c r="A181" s="224" t="s">
        <v>75</v>
      </c>
      <c r="B181" s="222">
        <f t="shared" si="14"/>
        <v>1</v>
      </c>
      <c r="C181" s="222">
        <f t="shared" si="14"/>
        <v>60</v>
      </c>
      <c r="D181" s="222">
        <v>1</v>
      </c>
      <c r="E181" s="222">
        <v>60</v>
      </c>
      <c r="F181" s="222">
        <v>0</v>
      </c>
      <c r="G181" s="222">
        <v>0</v>
      </c>
    </row>
    <row r="182" spans="1:7" ht="18.600000000000001" customHeight="1">
      <c r="A182" s="224" t="s">
        <v>76</v>
      </c>
      <c r="B182" s="222">
        <f t="shared" si="14"/>
        <v>1</v>
      </c>
      <c r="C182" s="222">
        <f t="shared" si="14"/>
        <v>60</v>
      </c>
      <c r="D182" s="222">
        <v>1</v>
      </c>
      <c r="E182" s="222">
        <v>60</v>
      </c>
      <c r="F182" s="222">
        <v>0</v>
      </c>
      <c r="G182" s="222">
        <v>0</v>
      </c>
    </row>
    <row r="183" spans="1:7" ht="18.600000000000001" customHeight="1">
      <c r="A183" s="224" t="s">
        <v>78</v>
      </c>
      <c r="B183" s="222">
        <f t="shared" si="14"/>
        <v>0</v>
      </c>
      <c r="C183" s="222">
        <f t="shared" si="14"/>
        <v>0</v>
      </c>
      <c r="D183" s="222">
        <v>0</v>
      </c>
      <c r="E183" s="222">
        <v>0</v>
      </c>
      <c r="F183" s="222">
        <v>0</v>
      </c>
      <c r="G183" s="222">
        <v>0</v>
      </c>
    </row>
    <row r="184" spans="1:7" ht="18.600000000000001" customHeight="1">
      <c r="A184" s="224" t="s">
        <v>77</v>
      </c>
      <c r="B184" s="222">
        <f t="shared" si="14"/>
        <v>1</v>
      </c>
      <c r="C184" s="222">
        <f t="shared" si="14"/>
        <v>100</v>
      </c>
      <c r="D184" s="222">
        <v>1</v>
      </c>
      <c r="E184" s="222">
        <v>100</v>
      </c>
      <c r="F184" s="222">
        <v>0</v>
      </c>
      <c r="G184" s="222">
        <v>0</v>
      </c>
    </row>
    <row r="185" spans="1:7" ht="18.600000000000001" customHeight="1">
      <c r="A185" s="236" t="s">
        <v>22</v>
      </c>
      <c r="B185" s="230">
        <f t="shared" si="13"/>
        <v>17</v>
      </c>
      <c r="C185" s="230">
        <f t="shared" si="13"/>
        <v>845</v>
      </c>
      <c r="D185" s="230">
        <f>SUM(D186:D187)</f>
        <v>7</v>
      </c>
      <c r="E185" s="230">
        <f>SUM(E186:E187)</f>
        <v>670</v>
      </c>
      <c r="F185" s="230">
        <f>SUM(F186:F187)</f>
        <v>10</v>
      </c>
      <c r="G185" s="230">
        <f>SUM(G186:G187)</f>
        <v>175</v>
      </c>
    </row>
    <row r="186" spans="1:7" ht="18.600000000000001" customHeight="1">
      <c r="A186" s="224" t="s">
        <v>24</v>
      </c>
      <c r="B186" s="222">
        <f t="shared" si="13"/>
        <v>6</v>
      </c>
      <c r="C186" s="222">
        <f t="shared" si="13"/>
        <v>190</v>
      </c>
      <c r="D186" s="226">
        <v>1</v>
      </c>
      <c r="E186" s="226">
        <v>110</v>
      </c>
      <c r="F186" s="222">
        <v>5</v>
      </c>
      <c r="G186" s="222">
        <v>80</v>
      </c>
    </row>
    <row r="187" spans="1:7" ht="18.600000000000001" customHeight="1">
      <c r="A187" s="224" t="s">
        <v>23</v>
      </c>
      <c r="B187" s="222">
        <f t="shared" si="13"/>
        <v>11</v>
      </c>
      <c r="C187" s="222">
        <f t="shared" si="13"/>
        <v>655</v>
      </c>
      <c r="D187" s="226">
        <v>6</v>
      </c>
      <c r="E187" s="226">
        <v>560</v>
      </c>
      <c r="F187" s="222">
        <v>5</v>
      </c>
      <c r="G187" s="222">
        <v>95</v>
      </c>
    </row>
    <row r="188" spans="1:7" ht="18.600000000000001" customHeight="1">
      <c r="A188" s="236" t="s">
        <v>70</v>
      </c>
      <c r="B188" s="230">
        <f t="shared" si="13"/>
        <v>10</v>
      </c>
      <c r="C188" s="230">
        <f t="shared" si="13"/>
        <v>847</v>
      </c>
      <c r="D188" s="230">
        <f>SUM(D189:D190)</f>
        <v>10</v>
      </c>
      <c r="E188" s="230">
        <f>SUM(E189:E190)</f>
        <v>847</v>
      </c>
      <c r="F188" s="230">
        <f>SUM(F189:F190)</f>
        <v>0</v>
      </c>
      <c r="G188" s="230">
        <f>SUM(G189:G190)</f>
        <v>0</v>
      </c>
    </row>
    <row r="189" spans="1:7" ht="18.600000000000001" customHeight="1">
      <c r="A189" s="224" t="s">
        <v>72</v>
      </c>
      <c r="B189" s="222">
        <f t="shared" si="13"/>
        <v>1</v>
      </c>
      <c r="C189" s="222">
        <f t="shared" si="13"/>
        <v>110</v>
      </c>
      <c r="D189" s="222">
        <v>1</v>
      </c>
      <c r="E189" s="222">
        <v>110</v>
      </c>
      <c r="F189" s="222">
        <v>0</v>
      </c>
      <c r="G189" s="222">
        <v>0</v>
      </c>
    </row>
    <row r="190" spans="1:7" ht="18.600000000000001" customHeight="1">
      <c r="A190" s="224" t="s">
        <v>71</v>
      </c>
      <c r="B190" s="222">
        <f t="shared" si="13"/>
        <v>9</v>
      </c>
      <c r="C190" s="222">
        <f t="shared" si="13"/>
        <v>737</v>
      </c>
      <c r="D190" s="222">
        <v>9</v>
      </c>
      <c r="E190" s="222">
        <v>737</v>
      </c>
      <c r="F190" s="222">
        <v>0</v>
      </c>
      <c r="G190" s="222">
        <v>0</v>
      </c>
    </row>
    <row r="191" spans="1:7" ht="18.600000000000001" customHeight="1">
      <c r="A191" s="236" t="s">
        <v>50</v>
      </c>
      <c r="B191" s="230">
        <f t="shared" si="13"/>
        <v>6</v>
      </c>
      <c r="C191" s="230">
        <f t="shared" si="13"/>
        <v>283</v>
      </c>
      <c r="D191" s="230">
        <f>SUM(D192)</f>
        <v>5</v>
      </c>
      <c r="E191" s="230">
        <f>SUM(E192)</f>
        <v>198</v>
      </c>
      <c r="F191" s="230">
        <f>SUM(F192)</f>
        <v>1</v>
      </c>
      <c r="G191" s="230">
        <f>SUM(G192)</f>
        <v>85</v>
      </c>
    </row>
    <row r="192" spans="1:7" ht="18.600000000000001" customHeight="1">
      <c r="A192" s="224" t="s">
        <v>51</v>
      </c>
      <c r="B192" s="222">
        <f t="shared" si="13"/>
        <v>6</v>
      </c>
      <c r="C192" s="222">
        <f t="shared" si="13"/>
        <v>283</v>
      </c>
      <c r="D192" s="222">
        <v>5</v>
      </c>
      <c r="E192" s="222">
        <v>198</v>
      </c>
      <c r="F192" s="222">
        <v>1</v>
      </c>
      <c r="G192" s="222">
        <v>85</v>
      </c>
    </row>
    <row r="193" spans="1:7" ht="18.600000000000001" customHeight="1">
      <c r="A193" s="236" t="s">
        <v>63</v>
      </c>
      <c r="B193" s="230">
        <f t="shared" si="13"/>
        <v>5</v>
      </c>
      <c r="C193" s="230">
        <f t="shared" si="13"/>
        <v>488</v>
      </c>
      <c r="D193" s="230">
        <f>SUM(D194:D195)</f>
        <v>5</v>
      </c>
      <c r="E193" s="230">
        <f>SUM(E194:E195)</f>
        <v>488</v>
      </c>
      <c r="F193" s="230">
        <f>SUM(F194:F195)</f>
        <v>0</v>
      </c>
      <c r="G193" s="230">
        <f>SUM(G194:G195)</f>
        <v>0</v>
      </c>
    </row>
    <row r="194" spans="1:7" ht="18.600000000000001" customHeight="1">
      <c r="A194" s="224" t="s">
        <v>64</v>
      </c>
      <c r="B194" s="222">
        <f t="shared" si="13"/>
        <v>4</v>
      </c>
      <c r="C194" s="222">
        <f t="shared" si="13"/>
        <v>428</v>
      </c>
      <c r="D194" s="222">
        <v>4</v>
      </c>
      <c r="E194" s="222">
        <v>428</v>
      </c>
      <c r="F194" s="222">
        <v>0</v>
      </c>
      <c r="G194" s="222">
        <v>0</v>
      </c>
    </row>
    <row r="195" spans="1:7" ht="18.600000000000001" customHeight="1">
      <c r="A195" s="224" t="s">
        <v>65</v>
      </c>
      <c r="B195" s="222">
        <f t="shared" si="13"/>
        <v>1</v>
      </c>
      <c r="C195" s="222">
        <f t="shared" si="13"/>
        <v>60</v>
      </c>
      <c r="D195" s="222">
        <v>1</v>
      </c>
      <c r="E195" s="222">
        <v>60</v>
      </c>
      <c r="F195" s="222">
        <v>0</v>
      </c>
      <c r="G195" s="222">
        <v>0</v>
      </c>
    </row>
    <row r="196" spans="1:7" ht="18.600000000000001" customHeight="1">
      <c r="A196" s="236" t="s">
        <v>189</v>
      </c>
      <c r="B196" s="230">
        <f t="shared" si="13"/>
        <v>0</v>
      </c>
      <c r="C196" s="230">
        <f t="shared" si="13"/>
        <v>0</v>
      </c>
      <c r="D196" s="230">
        <f>SUM(D197)</f>
        <v>0</v>
      </c>
      <c r="E196" s="230">
        <f>SUM(E197)</f>
        <v>0</v>
      </c>
      <c r="F196" s="230">
        <f>SUM(F197)</f>
        <v>0</v>
      </c>
      <c r="G196" s="230">
        <f>SUM(G197)</f>
        <v>0</v>
      </c>
    </row>
    <row r="197" spans="1:7" ht="18.600000000000001" customHeight="1">
      <c r="A197" s="224" t="s">
        <v>190</v>
      </c>
      <c r="B197" s="238">
        <f t="shared" si="13"/>
        <v>0</v>
      </c>
      <c r="C197" s="238">
        <f t="shared" si="13"/>
        <v>0</v>
      </c>
      <c r="D197" s="238">
        <v>0</v>
      </c>
      <c r="E197" s="238">
        <v>0</v>
      </c>
      <c r="F197" s="238">
        <v>0</v>
      </c>
      <c r="G197" s="238">
        <v>0</v>
      </c>
    </row>
    <row r="198" spans="1:7" s="122" customFormat="1" ht="18.600000000000001" customHeight="1">
      <c r="A198" s="220" t="s">
        <v>185</v>
      </c>
      <c r="B198" s="230">
        <f t="shared" si="13"/>
        <v>4</v>
      </c>
      <c r="C198" s="230">
        <f t="shared" si="13"/>
        <v>569</v>
      </c>
      <c r="D198" s="230">
        <v>4</v>
      </c>
      <c r="E198" s="230">
        <v>569</v>
      </c>
      <c r="F198" s="230">
        <v>0</v>
      </c>
      <c r="G198" s="230">
        <v>0</v>
      </c>
    </row>
    <row r="199" spans="1:7" ht="18.600000000000001" customHeight="1">
      <c r="A199" s="220" t="s">
        <v>181</v>
      </c>
      <c r="B199" s="239">
        <f t="shared" si="13"/>
        <v>2</v>
      </c>
      <c r="C199" s="239">
        <f t="shared" si="13"/>
        <v>118</v>
      </c>
      <c r="D199" s="239">
        <v>2</v>
      </c>
      <c r="E199" s="239">
        <v>118</v>
      </c>
      <c r="F199" s="239">
        <v>0</v>
      </c>
      <c r="G199" s="239">
        <v>0</v>
      </c>
    </row>
    <row r="200" spans="1:7" ht="18.600000000000001" customHeight="1">
      <c r="A200" s="220" t="s">
        <v>179</v>
      </c>
      <c r="B200" s="239">
        <f t="shared" ref="B200:C204" si="16">SUM(D200+F200)</f>
        <v>5</v>
      </c>
      <c r="C200" s="239">
        <f t="shared" si="16"/>
        <v>232</v>
      </c>
      <c r="D200" s="239">
        <v>5</v>
      </c>
      <c r="E200" s="239">
        <v>232</v>
      </c>
      <c r="F200" s="239">
        <v>0</v>
      </c>
      <c r="G200" s="239">
        <v>0</v>
      </c>
    </row>
    <row r="201" spans="1:7" ht="18.600000000000001" customHeight="1">
      <c r="A201" s="220" t="s">
        <v>180</v>
      </c>
      <c r="B201" s="239">
        <f t="shared" si="16"/>
        <v>4</v>
      </c>
      <c r="C201" s="239">
        <f t="shared" si="16"/>
        <v>472</v>
      </c>
      <c r="D201" s="239">
        <v>4</v>
      </c>
      <c r="E201" s="239">
        <v>472</v>
      </c>
      <c r="F201" s="239">
        <v>0</v>
      </c>
      <c r="G201" s="239">
        <v>0</v>
      </c>
    </row>
    <row r="202" spans="1:7" ht="18.600000000000001" customHeight="1">
      <c r="A202" s="220" t="s">
        <v>182</v>
      </c>
      <c r="B202" s="239">
        <f t="shared" si="16"/>
        <v>5</v>
      </c>
      <c r="C202" s="239">
        <f t="shared" si="16"/>
        <v>270</v>
      </c>
      <c r="D202" s="239">
        <v>5</v>
      </c>
      <c r="E202" s="239">
        <v>270</v>
      </c>
      <c r="F202" s="239">
        <v>0</v>
      </c>
      <c r="G202" s="239">
        <v>0</v>
      </c>
    </row>
    <row r="203" spans="1:7" ht="18.600000000000001" customHeight="1">
      <c r="A203" s="220" t="s">
        <v>183</v>
      </c>
      <c r="B203" s="239">
        <f t="shared" si="16"/>
        <v>9</v>
      </c>
      <c r="C203" s="239">
        <f t="shared" si="16"/>
        <v>390</v>
      </c>
      <c r="D203" s="239">
        <v>9</v>
      </c>
      <c r="E203" s="239">
        <v>390</v>
      </c>
      <c r="F203" s="239">
        <v>0</v>
      </c>
      <c r="G203" s="239">
        <v>0</v>
      </c>
    </row>
    <row r="204" spans="1:7" ht="18.600000000000001" customHeight="1">
      <c r="A204" s="220" t="s">
        <v>184</v>
      </c>
      <c r="B204" s="239">
        <f t="shared" si="16"/>
        <v>10</v>
      </c>
      <c r="C204" s="239">
        <f t="shared" si="16"/>
        <v>360</v>
      </c>
      <c r="D204" s="239">
        <v>10</v>
      </c>
      <c r="E204" s="239">
        <v>360</v>
      </c>
      <c r="F204" s="239">
        <v>0</v>
      </c>
      <c r="G204" s="239">
        <v>0</v>
      </c>
    </row>
    <row r="205" spans="1:7" s="122" customFormat="1" ht="10.5" customHeight="1">
      <c r="A205" s="215"/>
      <c r="B205" s="215"/>
      <c r="C205" s="215"/>
      <c r="D205" s="215"/>
      <c r="E205" s="215"/>
      <c r="F205" s="215"/>
      <c r="G205" s="225" t="s">
        <v>90</v>
      </c>
    </row>
    <row r="206" spans="1:7" s="122" customFormat="1" ht="60" customHeight="1">
      <c r="A206" s="270" t="s">
        <v>283</v>
      </c>
      <c r="B206" s="270"/>
      <c r="C206" s="270"/>
      <c r="D206" s="270"/>
      <c r="E206" s="270"/>
      <c r="F206" s="270"/>
      <c r="G206" s="270"/>
    </row>
    <row r="207" spans="1:7" s="211" customFormat="1" ht="18" customHeight="1">
      <c r="A207" s="56" t="s">
        <v>277</v>
      </c>
      <c r="B207" s="251"/>
      <c r="C207" s="251"/>
      <c r="D207" s="252" t="s">
        <v>200</v>
      </c>
      <c r="E207" s="251"/>
      <c r="F207" s="251"/>
      <c r="G207" s="251" t="s">
        <v>89</v>
      </c>
    </row>
    <row r="208" spans="1:7" s="122" customFormat="1" ht="20.100000000000001" customHeight="1">
      <c r="A208" s="267" t="s">
        <v>7</v>
      </c>
      <c r="B208" s="267" t="s">
        <v>103</v>
      </c>
      <c r="C208" s="267"/>
      <c r="D208" s="267" t="s">
        <v>134</v>
      </c>
      <c r="E208" s="267"/>
      <c r="F208" s="267" t="s">
        <v>135</v>
      </c>
      <c r="G208" s="267"/>
    </row>
    <row r="209" spans="1:7" s="122" customFormat="1" ht="20.100000000000001" customHeight="1">
      <c r="A209" s="267"/>
      <c r="B209" s="217" t="s">
        <v>2</v>
      </c>
      <c r="C209" s="217" t="s">
        <v>3</v>
      </c>
      <c r="D209" s="217" t="s">
        <v>2</v>
      </c>
      <c r="E209" s="217" t="s">
        <v>3</v>
      </c>
      <c r="F209" s="217" t="s">
        <v>2</v>
      </c>
      <c r="G209" s="217" t="s">
        <v>3</v>
      </c>
    </row>
    <row r="210" spans="1:7" s="216" customFormat="1" ht="25.5" customHeight="1">
      <c r="A210" s="218" t="s">
        <v>137</v>
      </c>
      <c r="B210" s="219">
        <f t="shared" ref="B210:G210" si="17">SUM(B211,B214,B215,B218,B221,B226,B229,B234,B238,B251,B256,B259,B262,B266,B267,B270,B274,B275,B278,B281,B290,B294,B295,B296,B298,B299,B301,B307,B308,B314,B322,B324)</f>
        <v>287</v>
      </c>
      <c r="C210" s="219">
        <f t="shared" si="17"/>
        <v>22837</v>
      </c>
      <c r="D210" s="219">
        <f t="shared" si="17"/>
        <v>214</v>
      </c>
      <c r="E210" s="219">
        <f t="shared" si="17"/>
        <v>21565</v>
      </c>
      <c r="F210" s="219">
        <f t="shared" si="17"/>
        <v>73</v>
      </c>
      <c r="G210" s="219">
        <f t="shared" si="17"/>
        <v>1272</v>
      </c>
    </row>
    <row r="211" spans="1:7" s="216" customFormat="1" ht="17.45" customHeight="1">
      <c r="A211" s="220" t="s">
        <v>33</v>
      </c>
      <c r="B211" s="219">
        <f>SUM(D211+F211)</f>
        <v>7</v>
      </c>
      <c r="C211" s="219">
        <f>SUM(E211+G211)</f>
        <v>1356</v>
      </c>
      <c r="D211" s="219">
        <f t="shared" ref="D211:E211" si="18">SUM(D212:D213)</f>
        <v>7</v>
      </c>
      <c r="E211" s="219">
        <f t="shared" si="18"/>
        <v>1356</v>
      </c>
      <c r="F211" s="219">
        <f>SUM(F212:F213)</f>
        <v>0</v>
      </c>
      <c r="G211" s="219">
        <f>SUM(G212:G213)</f>
        <v>0</v>
      </c>
    </row>
    <row r="212" spans="1:7" s="216" customFormat="1" ht="17.45" customHeight="1">
      <c r="A212" s="221" t="s">
        <v>34</v>
      </c>
      <c r="B212" s="238">
        <f>SUM(D212,F212)</f>
        <v>5</v>
      </c>
      <c r="C212" s="238">
        <f>SUM(E212,G212)</f>
        <v>1276</v>
      </c>
      <c r="D212" s="222">
        <v>5</v>
      </c>
      <c r="E212" s="222">
        <v>1276</v>
      </c>
      <c r="F212" s="238">
        <v>0</v>
      </c>
      <c r="G212" s="238">
        <v>0</v>
      </c>
    </row>
    <row r="213" spans="1:7" s="216" customFormat="1" ht="17.45" customHeight="1">
      <c r="A213" s="246" t="s">
        <v>240</v>
      </c>
      <c r="B213" s="238">
        <f>SUM(D213,F213)</f>
        <v>2</v>
      </c>
      <c r="C213" s="238">
        <f>SUM(E213,G213)</f>
        <v>80</v>
      </c>
      <c r="D213" s="222">
        <v>2</v>
      </c>
      <c r="E213" s="222">
        <v>80</v>
      </c>
      <c r="F213" s="222">
        <v>0</v>
      </c>
      <c r="G213" s="222">
        <v>0</v>
      </c>
    </row>
    <row r="214" spans="1:7" s="216" customFormat="1" ht="17.45" customHeight="1">
      <c r="A214" s="220" t="s">
        <v>212</v>
      </c>
      <c r="B214" s="219">
        <f>SUM(D214+F214)</f>
        <v>4</v>
      </c>
      <c r="C214" s="219">
        <f>SUM(E214+G214)</f>
        <v>543</v>
      </c>
      <c r="D214" s="240">
        <v>4</v>
      </c>
      <c r="E214" s="240">
        <v>543</v>
      </c>
      <c r="F214" s="219">
        <v>0</v>
      </c>
      <c r="G214" s="219">
        <v>0</v>
      </c>
    </row>
    <row r="215" spans="1:7" s="216" customFormat="1" ht="17.45" customHeight="1">
      <c r="A215" s="220" t="s">
        <v>52</v>
      </c>
      <c r="B215" s="219">
        <f>SUM(D215+F215)</f>
        <v>8</v>
      </c>
      <c r="C215" s="219">
        <f>SUM(E215+G215)</f>
        <v>941</v>
      </c>
      <c r="D215" s="219">
        <f>SUM(D216:D217)</f>
        <v>7</v>
      </c>
      <c r="E215" s="219">
        <f>SUM(E216:E217)</f>
        <v>886</v>
      </c>
      <c r="F215" s="219">
        <f>SUM(F216:F217)</f>
        <v>1</v>
      </c>
      <c r="G215" s="219">
        <f>SUM(G216:G217)</f>
        <v>55</v>
      </c>
    </row>
    <row r="216" spans="1:7" s="216" customFormat="1" ht="17.45" customHeight="1">
      <c r="A216" s="221" t="s">
        <v>53</v>
      </c>
      <c r="B216" s="238">
        <f>SUM(D216,F216)</f>
        <v>6</v>
      </c>
      <c r="C216" s="238">
        <f>SUM(E216,G216)</f>
        <v>540</v>
      </c>
      <c r="D216" s="222">
        <v>5</v>
      </c>
      <c r="E216" s="222">
        <v>485</v>
      </c>
      <c r="F216" s="238">
        <v>1</v>
      </c>
      <c r="G216" s="238">
        <v>55</v>
      </c>
    </row>
    <row r="217" spans="1:7" s="216" customFormat="1" ht="17.45" customHeight="1">
      <c r="A217" s="246" t="s">
        <v>214</v>
      </c>
      <c r="B217" s="238">
        <f t="shared" ref="B217:B218" si="19">SUM(D217,F217)</f>
        <v>2</v>
      </c>
      <c r="C217" s="238">
        <f>SUM(E217,G217)</f>
        <v>401</v>
      </c>
      <c r="D217" s="222">
        <v>2</v>
      </c>
      <c r="E217" s="222">
        <v>401</v>
      </c>
      <c r="F217" s="222">
        <v>0</v>
      </c>
      <c r="G217" s="222">
        <v>0</v>
      </c>
    </row>
    <row r="218" spans="1:7" s="216" customFormat="1" ht="17.45" customHeight="1">
      <c r="A218" s="220" t="s">
        <v>43</v>
      </c>
      <c r="B218" s="238">
        <f t="shared" si="19"/>
        <v>7</v>
      </c>
      <c r="C218" s="219">
        <f>SUM(E218+G218)</f>
        <v>214</v>
      </c>
      <c r="D218" s="219">
        <f t="shared" ref="D218:E218" si="20">SUM(D219:D220)</f>
        <v>2</v>
      </c>
      <c r="E218" s="219">
        <f t="shared" si="20"/>
        <v>174</v>
      </c>
      <c r="F218" s="219">
        <f>SUM(F219:F220)</f>
        <v>5</v>
      </c>
      <c r="G218" s="219">
        <f>SUM(G219:G220)</f>
        <v>40</v>
      </c>
    </row>
    <row r="219" spans="1:7" s="216" customFormat="1" ht="17.45" customHeight="1">
      <c r="A219" s="221" t="s">
        <v>45</v>
      </c>
      <c r="B219" s="238">
        <f>SUM(D219,F219)</f>
        <v>1</v>
      </c>
      <c r="C219" s="238">
        <f>SUM(E219,G219)</f>
        <v>40</v>
      </c>
      <c r="D219" s="222">
        <v>1</v>
      </c>
      <c r="E219" s="222">
        <v>40</v>
      </c>
      <c r="F219" s="222">
        <v>0</v>
      </c>
      <c r="G219" s="222">
        <v>0</v>
      </c>
    </row>
    <row r="220" spans="1:7" s="216" customFormat="1" ht="17.45" customHeight="1">
      <c r="A220" s="221" t="s">
        <v>44</v>
      </c>
      <c r="B220" s="238">
        <f>SUM(D220,F220)</f>
        <v>6</v>
      </c>
      <c r="C220" s="238">
        <f>SUM(E220,G220)</f>
        <v>174</v>
      </c>
      <c r="D220" s="222">
        <v>1</v>
      </c>
      <c r="E220" s="222">
        <v>134</v>
      </c>
      <c r="F220" s="222">
        <v>5</v>
      </c>
      <c r="G220" s="222">
        <v>40</v>
      </c>
    </row>
    <row r="221" spans="1:7" s="216" customFormat="1" ht="17.45" customHeight="1">
      <c r="A221" s="220" t="s">
        <v>79</v>
      </c>
      <c r="B221" s="219">
        <f>SUM(D221+F221)</f>
        <v>9</v>
      </c>
      <c r="C221" s="219">
        <f>SUM(E221+G221)</f>
        <v>358</v>
      </c>
      <c r="D221" s="219">
        <f t="shared" ref="D221:E221" si="21">SUM(D222:D225)</f>
        <v>4</v>
      </c>
      <c r="E221" s="219">
        <f t="shared" si="21"/>
        <v>313</v>
      </c>
      <c r="F221" s="219">
        <f>SUM(F222:F225)</f>
        <v>5</v>
      </c>
      <c r="G221" s="219">
        <f>SUM(G222:G225)</f>
        <v>45</v>
      </c>
    </row>
    <row r="222" spans="1:7" s="216" customFormat="1" ht="17.45" customHeight="1">
      <c r="A222" s="221" t="s">
        <v>215</v>
      </c>
      <c r="B222" s="238">
        <f>SUM(D222,F222)</f>
        <v>7</v>
      </c>
      <c r="C222" s="238">
        <f>SUM(E222,G222)</f>
        <v>308</v>
      </c>
      <c r="D222" s="222">
        <v>2</v>
      </c>
      <c r="E222" s="222">
        <v>263</v>
      </c>
      <c r="F222" s="222">
        <v>5</v>
      </c>
      <c r="G222" s="222">
        <v>45</v>
      </c>
    </row>
    <row r="223" spans="1:7" s="216" customFormat="1" ht="17.45" customHeight="1">
      <c r="A223" s="221" t="s">
        <v>216</v>
      </c>
      <c r="B223" s="238">
        <f t="shared" ref="B223:C225" si="22">SUM(D223,F223)</f>
        <v>0</v>
      </c>
      <c r="C223" s="238">
        <f t="shared" si="22"/>
        <v>0</v>
      </c>
      <c r="D223" s="222">
        <v>0</v>
      </c>
      <c r="E223" s="222">
        <v>0</v>
      </c>
      <c r="F223" s="222">
        <v>0</v>
      </c>
      <c r="G223" s="222">
        <v>0</v>
      </c>
    </row>
    <row r="224" spans="1:7" s="216" customFormat="1" ht="17.45" customHeight="1">
      <c r="A224" s="221" t="s">
        <v>130</v>
      </c>
      <c r="B224" s="238">
        <f t="shared" si="22"/>
        <v>1</v>
      </c>
      <c r="C224" s="238">
        <f>SUM(E224,G224)</f>
        <v>25</v>
      </c>
      <c r="D224" s="222">
        <v>1</v>
      </c>
      <c r="E224" s="222">
        <v>25</v>
      </c>
      <c r="F224" s="222">
        <v>0</v>
      </c>
      <c r="G224" s="222">
        <v>0</v>
      </c>
    </row>
    <row r="225" spans="1:7" s="216" customFormat="1" ht="17.45" customHeight="1">
      <c r="A225" s="221" t="s">
        <v>217</v>
      </c>
      <c r="B225" s="238">
        <f t="shared" si="22"/>
        <v>1</v>
      </c>
      <c r="C225" s="238">
        <f t="shared" si="22"/>
        <v>25</v>
      </c>
      <c r="D225" s="222">
        <v>1</v>
      </c>
      <c r="E225" s="222">
        <v>25</v>
      </c>
      <c r="F225" s="222">
        <v>0</v>
      </c>
      <c r="G225" s="222">
        <v>0</v>
      </c>
    </row>
    <row r="226" spans="1:7" s="216" customFormat="1" ht="17.45" customHeight="1">
      <c r="A226" s="220" t="s">
        <v>16</v>
      </c>
      <c r="B226" s="219">
        <f>SUM(D226+F226)</f>
        <v>5</v>
      </c>
      <c r="C226" s="219">
        <f>SUM(E226+G226)</f>
        <v>640</v>
      </c>
      <c r="D226" s="219">
        <f t="shared" ref="D226:E226" si="23">SUM(D227:D228)</f>
        <v>5</v>
      </c>
      <c r="E226" s="219">
        <f t="shared" si="23"/>
        <v>640</v>
      </c>
      <c r="F226" s="219">
        <f>SUM(F227:F228)</f>
        <v>0</v>
      </c>
      <c r="G226" s="219">
        <f>SUM(G227:G228)</f>
        <v>0</v>
      </c>
    </row>
    <row r="227" spans="1:7" s="216" customFormat="1" ht="17.45" customHeight="1">
      <c r="A227" s="221" t="s">
        <v>17</v>
      </c>
      <c r="B227" s="238">
        <f>SUM(D227,F227)</f>
        <v>3</v>
      </c>
      <c r="C227" s="238">
        <f>SUM(E227,G227)</f>
        <v>520</v>
      </c>
      <c r="D227" s="222">
        <v>3</v>
      </c>
      <c r="E227" s="222">
        <v>520</v>
      </c>
      <c r="F227" s="222">
        <v>0</v>
      </c>
      <c r="G227" s="222">
        <v>0</v>
      </c>
    </row>
    <row r="228" spans="1:7" s="216" customFormat="1" ht="17.45" customHeight="1">
      <c r="A228" s="221" t="s">
        <v>18</v>
      </c>
      <c r="B228" s="238">
        <f>SUM(D228,F228)</f>
        <v>2</v>
      </c>
      <c r="C228" s="238">
        <f>SUM(E228,G228)</f>
        <v>120</v>
      </c>
      <c r="D228" s="222">
        <v>2</v>
      </c>
      <c r="E228" s="222">
        <v>120</v>
      </c>
      <c r="F228" s="222">
        <v>0</v>
      </c>
      <c r="G228" s="222">
        <v>0</v>
      </c>
    </row>
    <row r="229" spans="1:7" s="216" customFormat="1" ht="17.45" customHeight="1">
      <c r="A229" s="220" t="s">
        <v>60</v>
      </c>
      <c r="B229" s="219">
        <f>SUM(D229+F229)</f>
        <v>5</v>
      </c>
      <c r="C229" s="219">
        <f>SUM(E229+G229)</f>
        <v>320</v>
      </c>
      <c r="D229" s="219">
        <f t="shared" ref="D229:E229" si="24">SUM(D230:D233)</f>
        <v>4</v>
      </c>
      <c r="E229" s="219">
        <f t="shared" si="24"/>
        <v>320</v>
      </c>
      <c r="F229" s="219">
        <f>SUM(F230:F233)</f>
        <v>1</v>
      </c>
      <c r="G229" s="219">
        <f>SUM(G230:G233)</f>
        <v>0</v>
      </c>
    </row>
    <row r="230" spans="1:7" s="216" customFormat="1" ht="17.45" customHeight="1">
      <c r="A230" s="221" t="s">
        <v>61</v>
      </c>
      <c r="B230" s="238">
        <f>SUM(D230,F230)</f>
        <v>4</v>
      </c>
      <c r="C230" s="238">
        <f>SUM(E230,G230)</f>
        <v>280</v>
      </c>
      <c r="D230" s="222">
        <v>3</v>
      </c>
      <c r="E230" s="222">
        <v>280</v>
      </c>
      <c r="F230" s="222">
        <v>1</v>
      </c>
      <c r="G230" s="222">
        <v>0</v>
      </c>
    </row>
    <row r="231" spans="1:7" s="216" customFormat="1" ht="17.45" customHeight="1">
      <c r="A231" s="221" t="s">
        <v>85</v>
      </c>
      <c r="B231" s="238">
        <f t="shared" ref="B231:C233" si="25">SUM(D231,F231)</f>
        <v>0</v>
      </c>
      <c r="C231" s="238">
        <f t="shared" si="25"/>
        <v>0</v>
      </c>
      <c r="D231" s="222">
        <v>0</v>
      </c>
      <c r="E231" s="222">
        <v>0</v>
      </c>
      <c r="F231" s="222">
        <v>0</v>
      </c>
      <c r="G231" s="222">
        <v>0</v>
      </c>
    </row>
    <row r="232" spans="1:7" s="216" customFormat="1" ht="17.45" customHeight="1">
      <c r="A232" s="221" t="s">
        <v>62</v>
      </c>
      <c r="B232" s="238">
        <f t="shared" si="25"/>
        <v>1</v>
      </c>
      <c r="C232" s="238">
        <f t="shared" si="25"/>
        <v>40</v>
      </c>
      <c r="D232" s="222">
        <v>1</v>
      </c>
      <c r="E232" s="222">
        <v>40</v>
      </c>
      <c r="F232" s="222">
        <v>0</v>
      </c>
      <c r="G232" s="222">
        <v>0</v>
      </c>
    </row>
    <row r="233" spans="1:7" s="216" customFormat="1" ht="17.45" customHeight="1">
      <c r="A233" s="221" t="s">
        <v>218</v>
      </c>
      <c r="B233" s="238">
        <f t="shared" si="25"/>
        <v>0</v>
      </c>
      <c r="C233" s="238">
        <f t="shared" si="25"/>
        <v>0</v>
      </c>
      <c r="D233" s="222">
        <v>0</v>
      </c>
      <c r="E233" s="222">
        <v>0</v>
      </c>
      <c r="F233" s="222">
        <v>0</v>
      </c>
      <c r="G233" s="222">
        <v>0</v>
      </c>
    </row>
    <row r="234" spans="1:7" s="216" customFormat="1" ht="17.45" customHeight="1">
      <c r="A234" s="220" t="s">
        <v>56</v>
      </c>
      <c r="B234" s="219">
        <f>SUM(D234+F234)</f>
        <v>12</v>
      </c>
      <c r="C234" s="219">
        <f>SUM(E234+G234)</f>
        <v>705</v>
      </c>
      <c r="D234" s="219">
        <f t="shared" ref="D234:E234" si="26">SUM(D235:D237)</f>
        <v>12</v>
      </c>
      <c r="E234" s="219">
        <f t="shared" si="26"/>
        <v>705</v>
      </c>
      <c r="F234" s="219">
        <f>SUM(F235:F237)</f>
        <v>0</v>
      </c>
      <c r="G234" s="219">
        <f>SUM(G235:G237)</f>
        <v>0</v>
      </c>
    </row>
    <row r="235" spans="1:7" s="216" customFormat="1" ht="17.45" customHeight="1">
      <c r="A235" s="221" t="s">
        <v>57</v>
      </c>
      <c r="B235" s="238">
        <f>SUM(D235,F235)</f>
        <v>8</v>
      </c>
      <c r="C235" s="238">
        <f>SUM(E235,G235)</f>
        <v>545</v>
      </c>
      <c r="D235" s="222">
        <v>8</v>
      </c>
      <c r="E235" s="222">
        <v>545</v>
      </c>
      <c r="F235" s="222">
        <v>0</v>
      </c>
      <c r="G235" s="222">
        <v>0</v>
      </c>
    </row>
    <row r="236" spans="1:7" s="216" customFormat="1" ht="17.45" customHeight="1">
      <c r="A236" s="221" t="s">
        <v>59</v>
      </c>
      <c r="B236" s="238">
        <f t="shared" ref="B236:C237" si="27">SUM(D236,F236)</f>
        <v>1</v>
      </c>
      <c r="C236" s="238">
        <f t="shared" si="27"/>
        <v>40</v>
      </c>
      <c r="D236" s="222">
        <v>1</v>
      </c>
      <c r="E236" s="222">
        <v>40</v>
      </c>
      <c r="F236" s="222">
        <v>0</v>
      </c>
      <c r="G236" s="222">
        <v>0</v>
      </c>
    </row>
    <row r="237" spans="1:7" s="216" customFormat="1" ht="17.45" customHeight="1">
      <c r="A237" s="221" t="s">
        <v>58</v>
      </c>
      <c r="B237" s="238">
        <f t="shared" si="27"/>
        <v>3</v>
      </c>
      <c r="C237" s="238">
        <f t="shared" si="27"/>
        <v>120</v>
      </c>
      <c r="D237" s="222">
        <v>3</v>
      </c>
      <c r="E237" s="222">
        <v>120</v>
      </c>
      <c r="F237" s="222">
        <v>0</v>
      </c>
      <c r="G237" s="222">
        <v>0</v>
      </c>
    </row>
    <row r="238" spans="1:7" s="216" customFormat="1" ht="17.45" customHeight="1">
      <c r="A238" s="220" t="s">
        <v>211</v>
      </c>
      <c r="B238" s="219">
        <f>SUM(D238+F238)</f>
        <v>10</v>
      </c>
      <c r="C238" s="219">
        <f>SUM(E238+G238)</f>
        <v>799</v>
      </c>
      <c r="D238" s="219">
        <f t="shared" ref="D238:E238" si="28">SUM(D239:D245)</f>
        <v>7</v>
      </c>
      <c r="E238" s="219">
        <f t="shared" si="28"/>
        <v>762</v>
      </c>
      <c r="F238" s="219">
        <f>SUM(F239:F245)</f>
        <v>3</v>
      </c>
      <c r="G238" s="219">
        <f>SUM(G239:G245)</f>
        <v>37</v>
      </c>
    </row>
    <row r="239" spans="1:7" s="216" customFormat="1" ht="17.45" customHeight="1">
      <c r="A239" s="221" t="s">
        <v>69</v>
      </c>
      <c r="B239" s="238">
        <f>SUM(D239,F239)</f>
        <v>2</v>
      </c>
      <c r="C239" s="238">
        <f>SUM(E239,G239)</f>
        <v>140</v>
      </c>
      <c r="D239" s="222">
        <v>2</v>
      </c>
      <c r="E239" s="222">
        <v>140</v>
      </c>
      <c r="F239" s="222">
        <v>0</v>
      </c>
      <c r="G239" s="222">
        <v>0</v>
      </c>
    </row>
    <row r="240" spans="1:7" s="216" customFormat="1" ht="17.45" customHeight="1">
      <c r="A240" s="221" t="s">
        <v>219</v>
      </c>
      <c r="B240" s="238">
        <f t="shared" ref="B240:C245" si="29">SUM(D240,F240)</f>
        <v>1</v>
      </c>
      <c r="C240" s="238">
        <f t="shared" si="29"/>
        <v>56</v>
      </c>
      <c r="D240" s="222">
        <v>1</v>
      </c>
      <c r="E240" s="222">
        <v>56</v>
      </c>
      <c r="F240" s="222">
        <v>0</v>
      </c>
      <c r="G240" s="222">
        <v>0</v>
      </c>
    </row>
    <row r="241" spans="1:7" s="216" customFormat="1" ht="17.45" customHeight="1">
      <c r="A241" s="221" t="s">
        <v>220</v>
      </c>
      <c r="B241" s="238">
        <f t="shared" si="29"/>
        <v>0</v>
      </c>
      <c r="C241" s="238">
        <f t="shared" si="29"/>
        <v>0</v>
      </c>
      <c r="D241" s="222">
        <v>0</v>
      </c>
      <c r="E241" s="222">
        <v>0</v>
      </c>
      <c r="F241" s="222">
        <v>0</v>
      </c>
      <c r="G241" s="222">
        <v>0</v>
      </c>
    </row>
    <row r="242" spans="1:7" s="216" customFormat="1" ht="17.45" customHeight="1">
      <c r="A242" s="221" t="s">
        <v>221</v>
      </c>
      <c r="B242" s="238">
        <f t="shared" si="29"/>
        <v>0</v>
      </c>
      <c r="C242" s="238">
        <f t="shared" si="29"/>
        <v>0</v>
      </c>
      <c r="D242" s="222">
        <v>0</v>
      </c>
      <c r="E242" s="222">
        <v>0</v>
      </c>
      <c r="F242" s="222">
        <v>0</v>
      </c>
      <c r="G242" s="222">
        <v>0</v>
      </c>
    </row>
    <row r="243" spans="1:7" s="216" customFormat="1" ht="17.45" customHeight="1">
      <c r="A243" s="221" t="s">
        <v>222</v>
      </c>
      <c r="B243" s="238">
        <f t="shared" si="29"/>
        <v>1</v>
      </c>
      <c r="C243" s="238">
        <f t="shared" si="29"/>
        <v>35</v>
      </c>
      <c r="D243" s="222">
        <v>1</v>
      </c>
      <c r="E243" s="222">
        <v>35</v>
      </c>
      <c r="F243" s="222">
        <v>0</v>
      </c>
      <c r="G243" s="222">
        <v>0</v>
      </c>
    </row>
    <row r="244" spans="1:7" s="216" customFormat="1" ht="17.45" customHeight="1">
      <c r="A244" s="221" t="s">
        <v>223</v>
      </c>
      <c r="B244" s="238">
        <f t="shared" si="29"/>
        <v>1</v>
      </c>
      <c r="C244" s="238">
        <f t="shared" si="29"/>
        <v>75</v>
      </c>
      <c r="D244" s="222">
        <v>1</v>
      </c>
      <c r="E244" s="222">
        <v>75</v>
      </c>
      <c r="F244" s="222">
        <v>0</v>
      </c>
      <c r="G244" s="222">
        <v>0</v>
      </c>
    </row>
    <row r="245" spans="1:7" s="216" customFormat="1" ht="17.45" customHeight="1">
      <c r="A245" s="221" t="s">
        <v>67</v>
      </c>
      <c r="B245" s="238">
        <f t="shared" si="29"/>
        <v>5</v>
      </c>
      <c r="C245" s="238">
        <f t="shared" si="29"/>
        <v>493</v>
      </c>
      <c r="D245" s="222">
        <v>2</v>
      </c>
      <c r="E245" s="222">
        <v>456</v>
      </c>
      <c r="F245" s="222">
        <v>3</v>
      </c>
      <c r="G245" s="222">
        <v>37</v>
      </c>
    </row>
    <row r="246" spans="1:7" ht="10.5" customHeight="1">
      <c r="A246" s="215"/>
      <c r="B246" s="215"/>
      <c r="C246" s="215"/>
      <c r="D246" s="215"/>
      <c r="E246" s="215"/>
      <c r="F246" s="215"/>
      <c r="G246" s="225" t="s">
        <v>90</v>
      </c>
    </row>
    <row r="247" spans="1:7" s="122" customFormat="1" ht="60" customHeight="1">
      <c r="A247" s="270" t="s">
        <v>283</v>
      </c>
      <c r="B247" s="270"/>
      <c r="C247" s="270"/>
      <c r="D247" s="270"/>
      <c r="E247" s="270"/>
      <c r="F247" s="270"/>
      <c r="G247" s="270"/>
    </row>
    <row r="248" spans="1:7" s="211" customFormat="1" ht="12.95" customHeight="1">
      <c r="A248" s="56" t="s">
        <v>277</v>
      </c>
      <c r="B248" s="251"/>
      <c r="C248" s="251"/>
      <c r="D248" s="252" t="s">
        <v>200</v>
      </c>
      <c r="E248" s="251"/>
      <c r="F248" s="251"/>
      <c r="G248" s="251" t="s">
        <v>89</v>
      </c>
    </row>
    <row r="249" spans="1:7" s="122" customFormat="1" ht="20.100000000000001" customHeight="1">
      <c r="A249" s="267" t="s">
        <v>7</v>
      </c>
      <c r="B249" s="268" t="s">
        <v>103</v>
      </c>
      <c r="C249" s="269"/>
      <c r="D249" s="267" t="s">
        <v>134</v>
      </c>
      <c r="E249" s="267"/>
      <c r="F249" s="267" t="s">
        <v>135</v>
      </c>
      <c r="G249" s="267"/>
    </row>
    <row r="250" spans="1:7" s="122" customFormat="1" ht="20.100000000000001" customHeight="1">
      <c r="A250" s="267"/>
      <c r="B250" s="217" t="s">
        <v>2</v>
      </c>
      <c r="C250" s="217" t="s">
        <v>3</v>
      </c>
      <c r="D250" s="217" t="s">
        <v>2</v>
      </c>
      <c r="E250" s="217" t="s">
        <v>3</v>
      </c>
      <c r="F250" s="217" t="s">
        <v>2</v>
      </c>
      <c r="G250" s="217" t="s">
        <v>3</v>
      </c>
    </row>
    <row r="251" spans="1:7" s="216" customFormat="1" ht="18.600000000000001" customHeight="1">
      <c r="A251" s="220" t="s">
        <v>210</v>
      </c>
      <c r="B251" s="219">
        <f>SUM(D251+F251)</f>
        <v>10</v>
      </c>
      <c r="C251" s="219">
        <f>SUM(E251+G251)</f>
        <v>488</v>
      </c>
      <c r="D251" s="219">
        <f t="shared" ref="D251:E251" si="30">SUM(D252:D255)</f>
        <v>5</v>
      </c>
      <c r="E251" s="219">
        <f t="shared" si="30"/>
        <v>488</v>
      </c>
      <c r="F251" s="219">
        <f>SUM(F252:F255)</f>
        <v>5</v>
      </c>
      <c r="G251" s="219">
        <f>SUM(G252:G255)</f>
        <v>0</v>
      </c>
    </row>
    <row r="252" spans="1:7" s="216" customFormat="1" ht="18.600000000000001" customHeight="1">
      <c r="A252" s="221" t="s">
        <v>64</v>
      </c>
      <c r="B252" s="238">
        <f>SUM(D252,F252)</f>
        <v>7</v>
      </c>
      <c r="C252" s="238">
        <f>SUM(E252,G252)</f>
        <v>308</v>
      </c>
      <c r="D252" s="222">
        <v>2</v>
      </c>
      <c r="E252" s="222">
        <v>308</v>
      </c>
      <c r="F252" s="222">
        <v>5</v>
      </c>
      <c r="G252" s="222">
        <v>0</v>
      </c>
    </row>
    <row r="253" spans="1:7" s="216" customFormat="1" ht="18.600000000000001" customHeight="1">
      <c r="A253" s="221" t="s">
        <v>224</v>
      </c>
      <c r="B253" s="238">
        <f t="shared" ref="B253:C255" si="31">SUM(D253,F253)</f>
        <v>1</v>
      </c>
      <c r="C253" s="238">
        <f t="shared" si="31"/>
        <v>60</v>
      </c>
      <c r="D253" s="222">
        <v>1</v>
      </c>
      <c r="E253" s="222">
        <v>60</v>
      </c>
      <c r="F253" s="222">
        <v>0</v>
      </c>
      <c r="G253" s="222">
        <v>0</v>
      </c>
    </row>
    <row r="254" spans="1:7" s="216" customFormat="1" ht="18.600000000000001" customHeight="1">
      <c r="A254" s="221" t="s">
        <v>225</v>
      </c>
      <c r="B254" s="238">
        <f t="shared" si="31"/>
        <v>1</v>
      </c>
      <c r="C254" s="238">
        <f t="shared" si="31"/>
        <v>60</v>
      </c>
      <c r="D254" s="222">
        <v>1</v>
      </c>
      <c r="E254" s="222">
        <v>60</v>
      </c>
      <c r="F254" s="222">
        <v>0</v>
      </c>
      <c r="G254" s="222">
        <v>0</v>
      </c>
    </row>
    <row r="255" spans="1:7" s="216" customFormat="1" ht="18.600000000000001" customHeight="1">
      <c r="A255" s="221" t="s">
        <v>65</v>
      </c>
      <c r="B255" s="238">
        <f t="shared" si="31"/>
        <v>1</v>
      </c>
      <c r="C255" s="238">
        <f t="shared" si="31"/>
        <v>60</v>
      </c>
      <c r="D255" s="222">
        <v>1</v>
      </c>
      <c r="E255" s="222">
        <v>60</v>
      </c>
      <c r="F255" s="222">
        <v>0</v>
      </c>
      <c r="G255" s="222">
        <v>0</v>
      </c>
    </row>
    <row r="256" spans="1:7" s="216" customFormat="1" ht="18.600000000000001" customHeight="1">
      <c r="A256" s="220" t="s">
        <v>27</v>
      </c>
      <c r="B256" s="219">
        <f>SUM(D256+F256)</f>
        <v>10</v>
      </c>
      <c r="C256" s="219">
        <f>SUM(E256+G256)</f>
        <v>318</v>
      </c>
      <c r="D256" s="219">
        <f t="shared" ref="D256:E256" si="32">SUM(D257:D258)</f>
        <v>6</v>
      </c>
      <c r="E256" s="219">
        <f t="shared" si="32"/>
        <v>248</v>
      </c>
      <c r="F256" s="219">
        <f t="shared" ref="F256:G256" si="33">SUM(F257:F258)</f>
        <v>4</v>
      </c>
      <c r="G256" s="219">
        <f t="shared" si="33"/>
        <v>70</v>
      </c>
    </row>
    <row r="257" spans="1:7" s="216" customFormat="1" ht="18.600000000000001" customHeight="1">
      <c r="A257" s="221" t="s">
        <v>28</v>
      </c>
      <c r="B257" s="238">
        <f>SUM(D257,F257)</f>
        <v>9</v>
      </c>
      <c r="C257" s="238">
        <f>SUM(E257,G257)</f>
        <v>278</v>
      </c>
      <c r="D257" s="222">
        <v>5</v>
      </c>
      <c r="E257" s="222">
        <v>208</v>
      </c>
      <c r="F257" s="222">
        <v>4</v>
      </c>
      <c r="G257" s="222">
        <v>70</v>
      </c>
    </row>
    <row r="258" spans="1:7" s="216" customFormat="1" ht="18.600000000000001" customHeight="1">
      <c r="A258" s="221" t="s">
        <v>196</v>
      </c>
      <c r="B258" s="238">
        <f>SUM(D258,F258)</f>
        <v>1</v>
      </c>
      <c r="C258" s="238">
        <f>SUM(E258,G258)</f>
        <v>40</v>
      </c>
      <c r="D258" s="222">
        <v>1</v>
      </c>
      <c r="E258" s="222">
        <v>40</v>
      </c>
      <c r="F258" s="222">
        <v>0</v>
      </c>
      <c r="G258" s="222">
        <v>0</v>
      </c>
    </row>
    <row r="259" spans="1:7" s="216" customFormat="1" ht="18.600000000000001" customHeight="1">
      <c r="A259" s="220" t="s">
        <v>35</v>
      </c>
      <c r="B259" s="219">
        <f>SUM(D259+F259)</f>
        <v>10</v>
      </c>
      <c r="C259" s="219">
        <f>SUM(E259+G259)</f>
        <v>806</v>
      </c>
      <c r="D259" s="219">
        <f t="shared" ref="D259:E259" si="34">SUM(D260:D261)</f>
        <v>10</v>
      </c>
      <c r="E259" s="219">
        <f t="shared" si="34"/>
        <v>806</v>
      </c>
      <c r="F259" s="219">
        <f>SUM(F260:F261)</f>
        <v>0</v>
      </c>
      <c r="G259" s="219">
        <f>SUM(G260:G261)</f>
        <v>0</v>
      </c>
    </row>
    <row r="260" spans="1:7" s="216" customFormat="1" ht="18.600000000000001" customHeight="1">
      <c r="A260" s="221" t="s">
        <v>37</v>
      </c>
      <c r="B260" s="238">
        <f>SUM(D260,F260)</f>
        <v>1</v>
      </c>
      <c r="C260" s="238">
        <f>SUM(E260,G260)</f>
        <v>40</v>
      </c>
      <c r="D260" s="222">
        <v>1</v>
      </c>
      <c r="E260" s="222">
        <v>40</v>
      </c>
      <c r="F260" s="222">
        <v>0</v>
      </c>
      <c r="G260" s="222">
        <v>0</v>
      </c>
    </row>
    <row r="261" spans="1:7" s="216" customFormat="1" ht="18.600000000000001" customHeight="1">
      <c r="A261" s="221" t="s">
        <v>36</v>
      </c>
      <c r="B261" s="238">
        <f>SUM(D261,F261)</f>
        <v>9</v>
      </c>
      <c r="C261" s="238">
        <f>SUM(E261,G261)</f>
        <v>766</v>
      </c>
      <c r="D261" s="222">
        <v>9</v>
      </c>
      <c r="E261" s="222">
        <v>766</v>
      </c>
      <c r="F261" s="222">
        <v>0</v>
      </c>
      <c r="G261" s="222">
        <v>0</v>
      </c>
    </row>
    <row r="262" spans="1:7" s="216" customFormat="1" ht="18.600000000000001" customHeight="1">
      <c r="A262" s="220" t="s">
        <v>29</v>
      </c>
      <c r="B262" s="219">
        <f>SUM(D262+F262)</f>
        <v>9</v>
      </c>
      <c r="C262" s="219">
        <f>SUM(E262+G262)</f>
        <v>590</v>
      </c>
      <c r="D262" s="219">
        <f t="shared" ref="D262:E262" si="35">SUM(D263:D265)</f>
        <v>9</v>
      </c>
      <c r="E262" s="219">
        <f t="shared" si="35"/>
        <v>590</v>
      </c>
      <c r="F262" s="219">
        <f>SUM(F263:F265)</f>
        <v>0</v>
      </c>
      <c r="G262" s="219">
        <f>SUM(G263:G265)</f>
        <v>0</v>
      </c>
    </row>
    <row r="263" spans="1:7" s="216" customFormat="1" ht="18.600000000000001" customHeight="1">
      <c r="A263" s="221" t="s">
        <v>31</v>
      </c>
      <c r="B263" s="238">
        <f>SUM(D263,F263)</f>
        <v>3</v>
      </c>
      <c r="C263" s="238">
        <f>SUM(E263,G263)</f>
        <v>52</v>
      </c>
      <c r="D263" s="222">
        <v>3</v>
      </c>
      <c r="E263" s="222">
        <v>52</v>
      </c>
      <c r="F263" s="222">
        <v>0</v>
      </c>
      <c r="G263" s="222">
        <v>0</v>
      </c>
    </row>
    <row r="264" spans="1:7" s="216" customFormat="1" ht="18.600000000000001" customHeight="1">
      <c r="A264" s="221" t="s">
        <v>30</v>
      </c>
      <c r="B264" s="238">
        <f t="shared" ref="B264:C265" si="36">SUM(D264,F264)</f>
        <v>4</v>
      </c>
      <c r="C264" s="238">
        <f t="shared" si="36"/>
        <v>388</v>
      </c>
      <c r="D264" s="222">
        <v>4</v>
      </c>
      <c r="E264" s="222">
        <v>388</v>
      </c>
      <c r="F264" s="222">
        <v>0</v>
      </c>
      <c r="G264" s="222">
        <v>0</v>
      </c>
    </row>
    <row r="265" spans="1:7" s="216" customFormat="1" ht="18.600000000000001" customHeight="1">
      <c r="A265" s="221" t="s">
        <v>32</v>
      </c>
      <c r="B265" s="238">
        <f t="shared" si="36"/>
        <v>2</v>
      </c>
      <c r="C265" s="238">
        <f t="shared" si="36"/>
        <v>150</v>
      </c>
      <c r="D265" s="222">
        <v>2</v>
      </c>
      <c r="E265" s="222">
        <v>150</v>
      </c>
      <c r="F265" s="222">
        <v>0</v>
      </c>
      <c r="G265" s="222">
        <v>0</v>
      </c>
    </row>
    <row r="266" spans="1:7" s="242" customFormat="1" ht="18.600000000000001" customHeight="1">
      <c r="A266" s="220" t="s">
        <v>209</v>
      </c>
      <c r="B266" s="241">
        <f>SUM(D266+F266)</f>
        <v>5</v>
      </c>
      <c r="C266" s="241">
        <f>SUM(E266+G266)</f>
        <v>460</v>
      </c>
      <c r="D266" s="240">
        <v>5</v>
      </c>
      <c r="E266" s="240">
        <v>460</v>
      </c>
      <c r="F266" s="241">
        <v>0</v>
      </c>
      <c r="G266" s="241">
        <v>0</v>
      </c>
    </row>
    <row r="267" spans="1:7" s="216" customFormat="1" ht="18.600000000000001" customHeight="1">
      <c r="A267" s="220" t="s">
        <v>25</v>
      </c>
      <c r="B267" s="219">
        <f>SUM(D267+F267)</f>
        <v>7</v>
      </c>
      <c r="C267" s="219">
        <f>SUM(E267+G267)</f>
        <v>520</v>
      </c>
      <c r="D267" s="219">
        <f>SUM(D268:D269)</f>
        <v>7</v>
      </c>
      <c r="E267" s="219">
        <f>SUM(E268:E269)</f>
        <v>520</v>
      </c>
      <c r="F267" s="219">
        <f t="shared" ref="F267:G267" si="37">SUM(F268:F269)</f>
        <v>0</v>
      </c>
      <c r="G267" s="219">
        <f t="shared" si="37"/>
        <v>0</v>
      </c>
    </row>
    <row r="268" spans="1:7" s="216" customFormat="1" ht="18.600000000000001" customHeight="1">
      <c r="A268" s="224" t="s">
        <v>226</v>
      </c>
      <c r="B268" s="238">
        <f>SUM(D268,F268)</f>
        <v>2</v>
      </c>
      <c r="C268" s="238">
        <f>SUM(E268,G268)</f>
        <v>66</v>
      </c>
      <c r="D268" s="238">
        <v>2</v>
      </c>
      <c r="E268" s="238">
        <v>66</v>
      </c>
      <c r="F268" s="238">
        <v>0</v>
      </c>
      <c r="G268" s="238">
        <v>0</v>
      </c>
    </row>
    <row r="269" spans="1:7" s="216" customFormat="1" ht="18.600000000000001" customHeight="1">
      <c r="A269" s="221" t="s">
        <v>26</v>
      </c>
      <c r="B269" s="238">
        <f>SUM(D269,F269)</f>
        <v>5</v>
      </c>
      <c r="C269" s="238">
        <f>SUM(E269,G269)</f>
        <v>454</v>
      </c>
      <c r="D269" s="238">
        <v>5</v>
      </c>
      <c r="E269" s="238">
        <v>454</v>
      </c>
      <c r="F269" s="222">
        <v>0</v>
      </c>
      <c r="G269" s="222">
        <v>0</v>
      </c>
    </row>
    <row r="270" spans="1:7" s="216" customFormat="1" ht="18.600000000000001" customHeight="1">
      <c r="A270" s="220" t="s">
        <v>46</v>
      </c>
      <c r="B270" s="219">
        <f>SUM(D270+F270)</f>
        <v>0</v>
      </c>
      <c r="C270" s="219">
        <f>SUM(E270+G270)</f>
        <v>0</v>
      </c>
      <c r="D270" s="219">
        <f t="shared" ref="D270:E270" si="38">SUM(D271:D273)</f>
        <v>0</v>
      </c>
      <c r="E270" s="219">
        <f t="shared" si="38"/>
        <v>0</v>
      </c>
      <c r="F270" s="219">
        <f>SUM(F271:F273)</f>
        <v>0</v>
      </c>
      <c r="G270" s="219">
        <f>SUM(G271:G273)</f>
        <v>0</v>
      </c>
    </row>
    <row r="271" spans="1:7" s="216" customFormat="1" ht="18.600000000000001" customHeight="1">
      <c r="A271" s="221" t="s">
        <v>48</v>
      </c>
      <c r="B271" s="238">
        <f>SUM(D271,F271)</f>
        <v>0</v>
      </c>
      <c r="C271" s="238">
        <f>SUM(E271,G271)</f>
        <v>0</v>
      </c>
      <c r="D271" s="222">
        <v>0</v>
      </c>
      <c r="E271" s="222">
        <v>0</v>
      </c>
      <c r="F271" s="222">
        <v>0</v>
      </c>
      <c r="G271" s="222">
        <v>0</v>
      </c>
    </row>
    <row r="272" spans="1:7" s="216" customFormat="1" ht="18.600000000000001" customHeight="1">
      <c r="A272" s="221" t="s">
        <v>49</v>
      </c>
      <c r="B272" s="238">
        <f t="shared" ref="B272:C273" si="39">SUM(D272,F272)</f>
        <v>0</v>
      </c>
      <c r="C272" s="238">
        <f t="shared" si="39"/>
        <v>0</v>
      </c>
      <c r="D272" s="222">
        <v>0</v>
      </c>
      <c r="E272" s="222">
        <v>0</v>
      </c>
      <c r="F272" s="222">
        <v>0</v>
      </c>
      <c r="G272" s="222">
        <v>0</v>
      </c>
    </row>
    <row r="273" spans="1:7" s="216" customFormat="1" ht="18.600000000000001" customHeight="1">
      <c r="A273" s="221" t="s">
        <v>47</v>
      </c>
      <c r="B273" s="238">
        <f t="shared" si="39"/>
        <v>0</v>
      </c>
      <c r="C273" s="238">
        <f t="shared" si="39"/>
        <v>0</v>
      </c>
      <c r="D273" s="222">
        <v>0</v>
      </c>
      <c r="E273" s="222">
        <v>0</v>
      </c>
      <c r="F273" s="222">
        <v>0</v>
      </c>
      <c r="G273" s="222">
        <v>0</v>
      </c>
    </row>
    <row r="274" spans="1:7" s="242" customFormat="1" ht="18.600000000000001" customHeight="1">
      <c r="A274" s="220" t="s">
        <v>208</v>
      </c>
      <c r="B274" s="241">
        <f>SUM(D274+F274)</f>
        <v>5</v>
      </c>
      <c r="C274" s="241">
        <f>SUM(E274+G274)</f>
        <v>552</v>
      </c>
      <c r="D274" s="240">
        <v>5</v>
      </c>
      <c r="E274" s="240">
        <v>552</v>
      </c>
      <c r="F274" s="241">
        <v>0</v>
      </c>
      <c r="G274" s="241">
        <v>0</v>
      </c>
    </row>
    <row r="275" spans="1:7" s="216" customFormat="1" ht="18.600000000000001" customHeight="1">
      <c r="A275" s="220" t="s">
        <v>54</v>
      </c>
      <c r="B275" s="219">
        <f>SUM(D275+F275)</f>
        <v>9</v>
      </c>
      <c r="C275" s="219">
        <f>SUM(E275+G275)</f>
        <v>466</v>
      </c>
      <c r="D275" s="219">
        <f t="shared" ref="D275:E275" si="40">SUM(D276:D277)</f>
        <v>5</v>
      </c>
      <c r="E275" s="219">
        <f t="shared" si="40"/>
        <v>466</v>
      </c>
      <c r="F275" s="219">
        <f t="shared" ref="F275:G275" si="41">SUM(F276:F277)</f>
        <v>4</v>
      </c>
      <c r="G275" s="219">
        <f t="shared" si="41"/>
        <v>0</v>
      </c>
    </row>
    <row r="276" spans="1:7" s="216" customFormat="1" ht="18.600000000000001" customHeight="1">
      <c r="A276" s="221" t="s">
        <v>55</v>
      </c>
      <c r="B276" s="222">
        <f>SUM(D276,F276)</f>
        <v>8</v>
      </c>
      <c r="C276" s="222">
        <f>SUM(E276,G276)</f>
        <v>356</v>
      </c>
      <c r="D276" s="222">
        <v>4</v>
      </c>
      <c r="E276" s="222">
        <v>356</v>
      </c>
      <c r="F276" s="238">
        <v>4</v>
      </c>
      <c r="G276" s="238">
        <v>0</v>
      </c>
    </row>
    <row r="277" spans="1:7" s="216" customFormat="1" ht="18.600000000000001" customHeight="1">
      <c r="A277" s="221" t="s">
        <v>146</v>
      </c>
      <c r="B277" s="222">
        <f>SUM(D277,F277)</f>
        <v>1</v>
      </c>
      <c r="C277" s="222">
        <f>SUM(E277,G277)</f>
        <v>110</v>
      </c>
      <c r="D277" s="222">
        <v>1</v>
      </c>
      <c r="E277" s="222">
        <v>110</v>
      </c>
      <c r="F277" s="222">
        <v>0</v>
      </c>
      <c r="G277" s="222">
        <v>0</v>
      </c>
    </row>
    <row r="278" spans="1:7" s="216" customFormat="1" ht="18.600000000000001" customHeight="1">
      <c r="A278" s="220" t="s">
        <v>81</v>
      </c>
      <c r="B278" s="222">
        <f>SUM(D278,F278)</f>
        <v>6</v>
      </c>
      <c r="C278" s="219">
        <f>SUM(E278+G278)</f>
        <v>460</v>
      </c>
      <c r="D278" s="219">
        <f t="shared" ref="D278:E278" si="42">SUM(D279:D280)</f>
        <v>6</v>
      </c>
      <c r="E278" s="219">
        <f t="shared" si="42"/>
        <v>460</v>
      </c>
      <c r="F278" s="219">
        <f>SUM(F279:F280)</f>
        <v>0</v>
      </c>
      <c r="G278" s="219">
        <f>SUM(G279:G280)</f>
        <v>0</v>
      </c>
    </row>
    <row r="279" spans="1:7" s="216" customFormat="1" ht="18.600000000000001" customHeight="1">
      <c r="A279" s="221" t="s">
        <v>227</v>
      </c>
      <c r="B279" s="222">
        <f>SUM(D279,F279)</f>
        <v>1</v>
      </c>
      <c r="C279" s="222">
        <f>SUM(E279,G279)</f>
        <v>100</v>
      </c>
      <c r="D279" s="222">
        <v>1</v>
      </c>
      <c r="E279" s="222">
        <v>100</v>
      </c>
      <c r="F279" s="222">
        <v>0</v>
      </c>
      <c r="G279" s="222">
        <v>0</v>
      </c>
    </row>
    <row r="280" spans="1:7" s="216" customFormat="1" ht="18.600000000000001" customHeight="1">
      <c r="A280" s="221" t="s">
        <v>228</v>
      </c>
      <c r="B280" s="222">
        <f>SUM(D280,F280)</f>
        <v>5</v>
      </c>
      <c r="C280" s="222">
        <f>SUM(E280,G280)</f>
        <v>360</v>
      </c>
      <c r="D280" s="222">
        <v>5</v>
      </c>
      <c r="E280" s="222">
        <v>360</v>
      </c>
      <c r="F280" s="222">
        <v>0</v>
      </c>
      <c r="G280" s="222">
        <v>0</v>
      </c>
    </row>
    <row r="281" spans="1:7" s="216" customFormat="1" ht="18.600000000000001" customHeight="1">
      <c r="A281" s="220" t="s">
        <v>38</v>
      </c>
      <c r="B281" s="219">
        <f>SUM(D281+F281)</f>
        <v>12</v>
      </c>
      <c r="C281" s="219">
        <f>SUM(E281+G281)</f>
        <v>748</v>
      </c>
      <c r="D281" s="219">
        <f t="shared" ref="D281:E281" si="43">SUM(D282:D284)</f>
        <v>12</v>
      </c>
      <c r="E281" s="219">
        <f t="shared" si="43"/>
        <v>748</v>
      </c>
      <c r="F281" s="219">
        <f>SUM(F282:F284)</f>
        <v>0</v>
      </c>
      <c r="G281" s="219">
        <f>SUM(G282:G284)</f>
        <v>0</v>
      </c>
    </row>
    <row r="282" spans="1:7" s="216" customFormat="1" ht="18.600000000000001" customHeight="1">
      <c r="A282" s="221" t="s">
        <v>41</v>
      </c>
      <c r="B282" s="222">
        <f>SUM(D282,F282)</f>
        <v>4</v>
      </c>
      <c r="C282" s="222">
        <f>SUM(E282,G282)</f>
        <v>198</v>
      </c>
      <c r="D282" s="222">
        <v>4</v>
      </c>
      <c r="E282" s="222">
        <v>198</v>
      </c>
      <c r="F282" s="222">
        <v>0</v>
      </c>
      <c r="G282" s="222">
        <v>0</v>
      </c>
    </row>
    <row r="283" spans="1:7" s="216" customFormat="1" ht="18.600000000000001" customHeight="1">
      <c r="A283" s="221" t="s">
        <v>39</v>
      </c>
      <c r="B283" s="222">
        <f t="shared" ref="B283:C284" si="44">SUM(D283,F283)</f>
        <v>6</v>
      </c>
      <c r="C283" s="222">
        <f t="shared" si="44"/>
        <v>524</v>
      </c>
      <c r="D283" s="222">
        <v>6</v>
      </c>
      <c r="E283" s="222">
        <v>524</v>
      </c>
      <c r="F283" s="222">
        <v>0</v>
      </c>
      <c r="G283" s="222">
        <v>0</v>
      </c>
    </row>
    <row r="284" spans="1:7" s="216" customFormat="1" ht="18.600000000000001" customHeight="1">
      <c r="A284" s="221" t="s">
        <v>40</v>
      </c>
      <c r="B284" s="222">
        <f t="shared" si="44"/>
        <v>2</v>
      </c>
      <c r="C284" s="222">
        <f t="shared" si="44"/>
        <v>26</v>
      </c>
      <c r="D284" s="222">
        <v>2</v>
      </c>
      <c r="E284" s="222">
        <v>26</v>
      </c>
      <c r="F284" s="222">
        <v>0</v>
      </c>
      <c r="G284" s="222">
        <v>0</v>
      </c>
    </row>
    <row r="285" spans="1:7" s="216" customFormat="1" ht="12" customHeight="1">
      <c r="A285" s="227"/>
      <c r="B285" s="243"/>
      <c r="C285" s="243"/>
      <c r="D285" s="244"/>
      <c r="E285" s="244"/>
      <c r="F285" s="228"/>
      <c r="G285" s="225" t="s">
        <v>90</v>
      </c>
    </row>
    <row r="286" spans="1:7" s="122" customFormat="1" ht="60" customHeight="1">
      <c r="A286" s="270" t="s">
        <v>283</v>
      </c>
      <c r="B286" s="270"/>
      <c r="C286" s="270"/>
      <c r="D286" s="270"/>
      <c r="E286" s="270"/>
      <c r="F286" s="270"/>
      <c r="G286" s="270"/>
    </row>
    <row r="287" spans="1:7" s="211" customFormat="1" ht="12.95" customHeight="1">
      <c r="A287" s="56" t="s">
        <v>277</v>
      </c>
      <c r="B287" s="251"/>
      <c r="C287" s="251"/>
      <c r="D287" s="252" t="s">
        <v>200</v>
      </c>
      <c r="E287" s="251"/>
      <c r="F287" s="251"/>
      <c r="G287" s="251" t="s">
        <v>89</v>
      </c>
    </row>
    <row r="288" spans="1:7" s="122" customFormat="1" ht="20.100000000000001" customHeight="1">
      <c r="A288" s="267" t="s">
        <v>7</v>
      </c>
      <c r="B288" s="267" t="s">
        <v>103</v>
      </c>
      <c r="C288" s="267"/>
      <c r="D288" s="267" t="s">
        <v>134</v>
      </c>
      <c r="E288" s="267"/>
      <c r="F288" s="267" t="s">
        <v>135</v>
      </c>
      <c r="G288" s="267"/>
    </row>
    <row r="289" spans="1:7" s="122" customFormat="1" ht="20.100000000000001" customHeight="1">
      <c r="A289" s="267"/>
      <c r="B289" s="217" t="s">
        <v>2</v>
      </c>
      <c r="C289" s="217" t="s">
        <v>3</v>
      </c>
      <c r="D289" s="217" t="s">
        <v>2</v>
      </c>
      <c r="E289" s="217" t="s">
        <v>3</v>
      </c>
      <c r="F289" s="217" t="s">
        <v>2</v>
      </c>
      <c r="G289" s="217" t="s">
        <v>3</v>
      </c>
    </row>
    <row r="290" spans="1:7" s="216" customFormat="1" ht="17.100000000000001" customHeight="1">
      <c r="A290" s="220" t="s">
        <v>19</v>
      </c>
      <c r="B290" s="219">
        <f>SUM(D290+F290)</f>
        <v>10</v>
      </c>
      <c r="C290" s="219">
        <f>SUM(E290+G290)</f>
        <v>772</v>
      </c>
      <c r="D290" s="219">
        <f>SUM(D291:D293)</f>
        <v>8</v>
      </c>
      <c r="E290" s="219">
        <f t="shared" ref="E290" si="45">SUM(E291:E293)</f>
        <v>772</v>
      </c>
      <c r="F290" s="219">
        <f>SUM(F291:F293)</f>
        <v>2</v>
      </c>
      <c r="G290" s="219">
        <f>SUM(G291:G293)</f>
        <v>0</v>
      </c>
    </row>
    <row r="291" spans="1:7" s="216" customFormat="1" ht="17.100000000000001" customHeight="1">
      <c r="A291" s="221" t="s">
        <v>20</v>
      </c>
      <c r="B291" s="222">
        <f>SUM(D291,F291)</f>
        <v>7</v>
      </c>
      <c r="C291" s="222">
        <f>SUM(E291,G291)</f>
        <v>564</v>
      </c>
      <c r="D291" s="222">
        <v>5</v>
      </c>
      <c r="E291" s="222">
        <v>564</v>
      </c>
      <c r="F291" s="222">
        <v>2</v>
      </c>
      <c r="G291" s="222">
        <v>0</v>
      </c>
    </row>
    <row r="292" spans="1:7" s="216" customFormat="1" ht="17.100000000000001" customHeight="1">
      <c r="A292" s="221" t="s">
        <v>229</v>
      </c>
      <c r="B292" s="222">
        <f t="shared" ref="B292:C293" si="46">SUM(D292,F292)</f>
        <v>1</v>
      </c>
      <c r="C292" s="222">
        <f t="shared" si="46"/>
        <v>40</v>
      </c>
      <c r="D292" s="222">
        <v>1</v>
      </c>
      <c r="E292" s="222">
        <v>40</v>
      </c>
      <c r="F292" s="222">
        <v>0</v>
      </c>
      <c r="G292" s="222">
        <v>0</v>
      </c>
    </row>
    <row r="293" spans="1:7" s="216" customFormat="1" ht="17.100000000000001" customHeight="1">
      <c r="A293" s="221" t="s">
        <v>21</v>
      </c>
      <c r="B293" s="222">
        <f t="shared" si="46"/>
        <v>2</v>
      </c>
      <c r="C293" s="222">
        <f t="shared" si="46"/>
        <v>168</v>
      </c>
      <c r="D293" s="222">
        <v>2</v>
      </c>
      <c r="E293" s="222">
        <v>168</v>
      </c>
      <c r="F293" s="222">
        <v>0</v>
      </c>
      <c r="G293" s="222">
        <v>0</v>
      </c>
    </row>
    <row r="294" spans="1:7" s="242" customFormat="1" ht="17.100000000000001" customHeight="1">
      <c r="A294" s="220" t="s">
        <v>207</v>
      </c>
      <c r="B294" s="241">
        <f t="shared" ref="B294:C296" si="47">SUM(D294+F294)</f>
        <v>3</v>
      </c>
      <c r="C294" s="241">
        <f t="shared" si="47"/>
        <v>158</v>
      </c>
      <c r="D294" s="240">
        <v>3</v>
      </c>
      <c r="E294" s="240">
        <v>158</v>
      </c>
      <c r="F294" s="241">
        <v>0</v>
      </c>
      <c r="G294" s="241">
        <v>0</v>
      </c>
    </row>
    <row r="295" spans="1:7" s="242" customFormat="1" ht="17.100000000000001" customHeight="1">
      <c r="A295" s="220" t="s">
        <v>206</v>
      </c>
      <c r="B295" s="241">
        <f t="shared" si="47"/>
        <v>9</v>
      </c>
      <c r="C295" s="241">
        <f t="shared" si="47"/>
        <v>360</v>
      </c>
      <c r="D295" s="240">
        <v>9</v>
      </c>
      <c r="E295" s="240">
        <v>360</v>
      </c>
      <c r="F295" s="241">
        <v>0</v>
      </c>
      <c r="G295" s="241">
        <v>0</v>
      </c>
    </row>
    <row r="296" spans="1:7" s="216" customFormat="1" ht="17.100000000000001" customHeight="1">
      <c r="A296" s="220" t="s">
        <v>14</v>
      </c>
      <c r="B296" s="219">
        <f t="shared" si="47"/>
        <v>10</v>
      </c>
      <c r="C296" s="219">
        <f t="shared" si="47"/>
        <v>1044</v>
      </c>
      <c r="D296" s="219">
        <f t="shared" ref="D296:E296" si="48">SUM(D297)</f>
        <v>9</v>
      </c>
      <c r="E296" s="219">
        <f t="shared" si="48"/>
        <v>1024</v>
      </c>
      <c r="F296" s="219">
        <f>SUM(F297)</f>
        <v>1</v>
      </c>
      <c r="G296" s="219">
        <f>SUM(G297)</f>
        <v>20</v>
      </c>
    </row>
    <row r="297" spans="1:7" s="216" customFormat="1" ht="17.100000000000001" customHeight="1">
      <c r="A297" s="221" t="s">
        <v>15</v>
      </c>
      <c r="B297" s="238">
        <f>SUM(D297,F297)</f>
        <v>10</v>
      </c>
      <c r="C297" s="222">
        <f>SUM(E297,G297)</f>
        <v>1044</v>
      </c>
      <c r="D297" s="222">
        <v>9</v>
      </c>
      <c r="E297" s="222">
        <v>1024</v>
      </c>
      <c r="F297" s="222">
        <v>1</v>
      </c>
      <c r="G297" s="222">
        <v>20</v>
      </c>
    </row>
    <row r="298" spans="1:7" s="242" customFormat="1" ht="17.100000000000001" customHeight="1">
      <c r="A298" s="220" t="s">
        <v>213</v>
      </c>
      <c r="B298" s="241">
        <f t="shared" ref="B298:C298" si="49">SUM(D298+F298)</f>
        <v>5</v>
      </c>
      <c r="C298" s="241">
        <f t="shared" si="49"/>
        <v>270</v>
      </c>
      <c r="D298" s="240">
        <v>5</v>
      </c>
      <c r="E298" s="240">
        <v>270</v>
      </c>
      <c r="F298" s="241">
        <v>0</v>
      </c>
      <c r="G298" s="241">
        <v>0</v>
      </c>
    </row>
    <row r="299" spans="1:7" s="216" customFormat="1" ht="17.100000000000001" customHeight="1">
      <c r="A299" s="220" t="s">
        <v>12</v>
      </c>
      <c r="B299" s="219">
        <f>SUM(D299+F299)</f>
        <v>52</v>
      </c>
      <c r="C299" s="219">
        <f>SUM(E299+G299)</f>
        <v>6020</v>
      </c>
      <c r="D299" s="219">
        <f t="shared" ref="D299:G299" si="50">SUM(D300)</f>
        <v>22</v>
      </c>
      <c r="E299" s="219">
        <f t="shared" si="50"/>
        <v>5292</v>
      </c>
      <c r="F299" s="219">
        <f t="shared" si="50"/>
        <v>30</v>
      </c>
      <c r="G299" s="219">
        <f t="shared" si="50"/>
        <v>728</v>
      </c>
    </row>
    <row r="300" spans="1:7" s="216" customFormat="1" ht="17.100000000000001" customHeight="1">
      <c r="A300" s="221" t="s">
        <v>13</v>
      </c>
      <c r="B300" s="238">
        <f>SUM(D300,F300)</f>
        <v>52</v>
      </c>
      <c r="C300" s="238">
        <f>SUM(E300,G300)</f>
        <v>6020</v>
      </c>
      <c r="D300" s="226">
        <v>22</v>
      </c>
      <c r="E300" s="226">
        <v>5292</v>
      </c>
      <c r="F300" s="222">
        <v>30</v>
      </c>
      <c r="G300" s="222">
        <v>728</v>
      </c>
    </row>
    <row r="301" spans="1:7" s="216" customFormat="1" ht="17.100000000000001" customHeight="1">
      <c r="A301" s="220" t="s">
        <v>73</v>
      </c>
      <c r="B301" s="219">
        <f>SUM(D301+F301)</f>
        <v>5</v>
      </c>
      <c r="C301" s="219">
        <f>SUM(E301+G301)</f>
        <v>447</v>
      </c>
      <c r="D301" s="219">
        <f t="shared" ref="D301:E301" si="51">SUM(D302:D306)</f>
        <v>4</v>
      </c>
      <c r="E301" s="219">
        <f t="shared" si="51"/>
        <v>430</v>
      </c>
      <c r="F301" s="219">
        <f>SUM(F302:F306)</f>
        <v>1</v>
      </c>
      <c r="G301" s="219">
        <f>SUM(G302:G306)</f>
        <v>17</v>
      </c>
    </row>
    <row r="302" spans="1:7" s="216" customFormat="1" ht="17.100000000000001" customHeight="1">
      <c r="A302" s="221" t="s">
        <v>74</v>
      </c>
      <c r="B302" s="238">
        <f>SUM(D302,F302)</f>
        <v>2</v>
      </c>
      <c r="C302" s="238">
        <f>SUM(E302,G302)</f>
        <v>227</v>
      </c>
      <c r="D302" s="222">
        <v>1</v>
      </c>
      <c r="E302" s="222">
        <v>210</v>
      </c>
      <c r="F302" s="222">
        <v>1</v>
      </c>
      <c r="G302" s="222">
        <v>17</v>
      </c>
    </row>
    <row r="303" spans="1:7" s="216" customFormat="1" ht="17.100000000000001" customHeight="1">
      <c r="A303" s="221" t="s">
        <v>75</v>
      </c>
      <c r="B303" s="238">
        <f t="shared" ref="B303:C306" si="52">SUM(D303,F303)</f>
        <v>1</v>
      </c>
      <c r="C303" s="238">
        <f t="shared" si="52"/>
        <v>60</v>
      </c>
      <c r="D303" s="222">
        <v>1</v>
      </c>
      <c r="E303" s="222">
        <v>60</v>
      </c>
      <c r="F303" s="222">
        <v>0</v>
      </c>
      <c r="G303" s="222">
        <v>0</v>
      </c>
    </row>
    <row r="304" spans="1:7" s="216" customFormat="1" ht="17.100000000000001" customHeight="1">
      <c r="A304" s="221" t="s">
        <v>76</v>
      </c>
      <c r="B304" s="238">
        <f t="shared" si="52"/>
        <v>1</v>
      </c>
      <c r="C304" s="238">
        <f t="shared" si="52"/>
        <v>60</v>
      </c>
      <c r="D304" s="222">
        <v>1</v>
      </c>
      <c r="E304" s="222">
        <v>60</v>
      </c>
      <c r="F304" s="222">
        <v>0</v>
      </c>
      <c r="G304" s="222">
        <v>0</v>
      </c>
    </row>
    <row r="305" spans="1:7" s="216" customFormat="1" ht="17.100000000000001" customHeight="1">
      <c r="A305" s="221" t="s">
        <v>230</v>
      </c>
      <c r="B305" s="238">
        <f t="shared" si="52"/>
        <v>0</v>
      </c>
      <c r="C305" s="238">
        <f t="shared" si="52"/>
        <v>0</v>
      </c>
      <c r="D305" s="222">
        <v>0</v>
      </c>
      <c r="E305" s="222">
        <v>0</v>
      </c>
      <c r="F305" s="222">
        <v>0</v>
      </c>
      <c r="G305" s="222">
        <v>0</v>
      </c>
    </row>
    <row r="306" spans="1:7" s="216" customFormat="1" ht="17.100000000000001" customHeight="1">
      <c r="A306" s="221" t="s">
        <v>77</v>
      </c>
      <c r="B306" s="238">
        <f t="shared" si="52"/>
        <v>1</v>
      </c>
      <c r="C306" s="238">
        <f t="shared" si="52"/>
        <v>100</v>
      </c>
      <c r="D306" s="222">
        <v>1</v>
      </c>
      <c r="E306" s="222">
        <v>100</v>
      </c>
      <c r="F306" s="222">
        <v>0</v>
      </c>
      <c r="G306" s="222">
        <v>0</v>
      </c>
    </row>
    <row r="307" spans="1:7" s="242" customFormat="1" ht="17.100000000000001" customHeight="1">
      <c r="A307" s="220" t="s">
        <v>205</v>
      </c>
      <c r="B307" s="241">
        <f>SUM(D307+F307)</f>
        <v>10</v>
      </c>
      <c r="C307" s="241">
        <f>SUM(E307+G307)</f>
        <v>507</v>
      </c>
      <c r="D307" s="240">
        <v>10</v>
      </c>
      <c r="E307" s="240">
        <v>507</v>
      </c>
      <c r="F307" s="241">
        <v>0</v>
      </c>
      <c r="G307" s="241">
        <v>0</v>
      </c>
    </row>
    <row r="308" spans="1:7" s="216" customFormat="1" ht="17.100000000000001" customHeight="1">
      <c r="A308" s="220" t="s">
        <v>22</v>
      </c>
      <c r="B308" s="219">
        <f>SUM(D308+F308)</f>
        <v>17</v>
      </c>
      <c r="C308" s="219">
        <f>SUM(E308+G308)</f>
        <v>845</v>
      </c>
      <c r="D308" s="219">
        <f t="shared" ref="D308:E308" si="53">SUM(D309:D313)</f>
        <v>7</v>
      </c>
      <c r="E308" s="219">
        <f t="shared" si="53"/>
        <v>670</v>
      </c>
      <c r="F308" s="219">
        <f>SUM(F309:F313)</f>
        <v>10</v>
      </c>
      <c r="G308" s="219">
        <f>SUM(G309:G313)</f>
        <v>175</v>
      </c>
    </row>
    <row r="309" spans="1:7" s="216" customFormat="1" ht="17.100000000000001" customHeight="1">
      <c r="A309" s="221" t="s">
        <v>24</v>
      </c>
      <c r="B309" s="238">
        <f>SUM(D309,F309)</f>
        <v>1</v>
      </c>
      <c r="C309" s="238">
        <f>SUM(E309,G309)</f>
        <v>110</v>
      </c>
      <c r="D309" s="222">
        <v>1</v>
      </c>
      <c r="E309" s="222">
        <v>110</v>
      </c>
      <c r="F309" s="222">
        <v>0</v>
      </c>
      <c r="G309" s="222">
        <v>0</v>
      </c>
    </row>
    <row r="310" spans="1:7" s="216" customFormat="1" ht="17.100000000000001" customHeight="1">
      <c r="A310" s="221" t="s">
        <v>23</v>
      </c>
      <c r="B310" s="238">
        <f t="shared" ref="B310:C313" si="54">SUM(D310,F310)</f>
        <v>9</v>
      </c>
      <c r="C310" s="238">
        <f t="shared" si="54"/>
        <v>565</v>
      </c>
      <c r="D310" s="222">
        <v>4</v>
      </c>
      <c r="E310" s="222">
        <v>470</v>
      </c>
      <c r="F310" s="222">
        <v>5</v>
      </c>
      <c r="G310" s="222">
        <v>95</v>
      </c>
    </row>
    <row r="311" spans="1:7" s="216" customFormat="1" ht="17.100000000000001" customHeight="1">
      <c r="A311" s="221" t="s">
        <v>231</v>
      </c>
      <c r="B311" s="238">
        <f t="shared" si="54"/>
        <v>4</v>
      </c>
      <c r="C311" s="238">
        <f t="shared" si="54"/>
        <v>90</v>
      </c>
      <c r="D311" s="222">
        <v>1</v>
      </c>
      <c r="E311" s="222">
        <v>50</v>
      </c>
      <c r="F311" s="222">
        <v>3</v>
      </c>
      <c r="G311" s="222">
        <v>40</v>
      </c>
    </row>
    <row r="312" spans="1:7" s="216" customFormat="1" ht="17.100000000000001" customHeight="1">
      <c r="A312" s="221" t="s">
        <v>232</v>
      </c>
      <c r="B312" s="238">
        <f t="shared" si="54"/>
        <v>2</v>
      </c>
      <c r="C312" s="238">
        <f t="shared" si="54"/>
        <v>40</v>
      </c>
      <c r="D312" s="222">
        <v>0</v>
      </c>
      <c r="E312" s="222">
        <v>0</v>
      </c>
      <c r="F312" s="222">
        <v>2</v>
      </c>
      <c r="G312" s="222">
        <v>40</v>
      </c>
    </row>
    <row r="313" spans="1:7" s="216" customFormat="1" ht="17.100000000000001" customHeight="1">
      <c r="A313" s="247" t="s">
        <v>233</v>
      </c>
      <c r="B313" s="238">
        <f t="shared" si="54"/>
        <v>1</v>
      </c>
      <c r="C313" s="238">
        <f t="shared" si="54"/>
        <v>40</v>
      </c>
      <c r="D313" s="222">
        <v>1</v>
      </c>
      <c r="E313" s="222">
        <v>40</v>
      </c>
      <c r="F313" s="222">
        <v>0</v>
      </c>
      <c r="G313" s="222">
        <v>0</v>
      </c>
    </row>
    <row r="314" spans="1:7" s="216" customFormat="1" ht="17.100000000000001" customHeight="1">
      <c r="A314" s="220" t="s">
        <v>70</v>
      </c>
      <c r="B314" s="219">
        <f>SUM(D314+F314)</f>
        <v>10</v>
      </c>
      <c r="C314" s="219">
        <f>SUM(E314+G314)</f>
        <v>847</v>
      </c>
      <c r="D314" s="219">
        <f t="shared" ref="D314:E314" si="55">SUM(D315:D321)</f>
        <v>10</v>
      </c>
      <c r="E314" s="219">
        <f t="shared" si="55"/>
        <v>847</v>
      </c>
      <c r="F314" s="219">
        <f>SUM(F315:F321)</f>
        <v>0</v>
      </c>
      <c r="G314" s="219">
        <f>SUM(G315:G321)</f>
        <v>0</v>
      </c>
    </row>
    <row r="315" spans="1:7" s="216" customFormat="1" ht="17.100000000000001" customHeight="1">
      <c r="A315" s="221" t="s">
        <v>72</v>
      </c>
      <c r="B315" s="238">
        <f>SUM(D315,F315)</f>
        <v>1</v>
      </c>
      <c r="C315" s="238">
        <f>SUM(E315,G315)</f>
        <v>110</v>
      </c>
      <c r="D315" s="222">
        <v>1</v>
      </c>
      <c r="E315" s="222">
        <v>110</v>
      </c>
      <c r="F315" s="222">
        <v>0</v>
      </c>
      <c r="G315" s="222">
        <v>0</v>
      </c>
    </row>
    <row r="316" spans="1:7" s="216" customFormat="1" ht="17.100000000000001" customHeight="1">
      <c r="A316" s="221" t="s">
        <v>234</v>
      </c>
      <c r="B316" s="238">
        <f t="shared" ref="B316:C324" si="56">SUM(D316,F316)</f>
        <v>4</v>
      </c>
      <c r="C316" s="238">
        <f t="shared" si="56"/>
        <v>537</v>
      </c>
      <c r="D316" s="222">
        <v>4</v>
      </c>
      <c r="E316" s="222">
        <v>537</v>
      </c>
      <c r="F316" s="222">
        <v>0</v>
      </c>
      <c r="G316" s="222">
        <v>0</v>
      </c>
    </row>
    <row r="317" spans="1:7" s="216" customFormat="1" ht="17.100000000000001" customHeight="1">
      <c r="A317" s="221" t="s">
        <v>235</v>
      </c>
      <c r="B317" s="238">
        <f t="shared" si="56"/>
        <v>2</v>
      </c>
      <c r="C317" s="238">
        <f t="shared" si="56"/>
        <v>80</v>
      </c>
      <c r="D317" s="222">
        <v>2</v>
      </c>
      <c r="E317" s="222">
        <v>80</v>
      </c>
      <c r="F317" s="222">
        <v>0</v>
      </c>
      <c r="G317" s="222">
        <v>0</v>
      </c>
    </row>
    <row r="318" spans="1:7" s="216" customFormat="1" ht="17.100000000000001" customHeight="1">
      <c r="A318" s="221" t="s">
        <v>236</v>
      </c>
      <c r="B318" s="238">
        <f t="shared" si="56"/>
        <v>1</v>
      </c>
      <c r="C318" s="238">
        <f t="shared" si="56"/>
        <v>40</v>
      </c>
      <c r="D318" s="222">
        <v>1</v>
      </c>
      <c r="E318" s="222">
        <v>40</v>
      </c>
      <c r="F318" s="222">
        <v>0</v>
      </c>
      <c r="G318" s="222">
        <v>0</v>
      </c>
    </row>
    <row r="319" spans="1:7" s="216" customFormat="1" ht="17.100000000000001" customHeight="1">
      <c r="A319" s="221" t="s">
        <v>237</v>
      </c>
      <c r="B319" s="238">
        <f t="shared" si="56"/>
        <v>0</v>
      </c>
      <c r="C319" s="238">
        <f t="shared" si="56"/>
        <v>0</v>
      </c>
      <c r="D319" s="222">
        <v>0</v>
      </c>
      <c r="E319" s="222">
        <v>0</v>
      </c>
      <c r="F319" s="222">
        <v>0</v>
      </c>
      <c r="G319" s="222">
        <v>0</v>
      </c>
    </row>
    <row r="320" spans="1:7" s="216" customFormat="1" ht="17.100000000000001" customHeight="1">
      <c r="A320" s="221" t="s">
        <v>238</v>
      </c>
      <c r="B320" s="238">
        <f t="shared" si="56"/>
        <v>1</v>
      </c>
      <c r="C320" s="238">
        <f t="shared" si="56"/>
        <v>40</v>
      </c>
      <c r="D320" s="222">
        <v>1</v>
      </c>
      <c r="E320" s="222">
        <v>40</v>
      </c>
      <c r="F320" s="222">
        <v>0</v>
      </c>
      <c r="G320" s="222">
        <v>0</v>
      </c>
    </row>
    <row r="321" spans="1:7" s="216" customFormat="1" ht="17.100000000000001" customHeight="1">
      <c r="A321" s="221" t="s">
        <v>239</v>
      </c>
      <c r="B321" s="238">
        <f t="shared" si="56"/>
        <v>1</v>
      </c>
      <c r="C321" s="238">
        <f t="shared" si="56"/>
        <v>40</v>
      </c>
      <c r="D321" s="222">
        <v>1</v>
      </c>
      <c r="E321" s="222">
        <v>40</v>
      </c>
      <c r="F321" s="222">
        <v>0</v>
      </c>
      <c r="G321" s="222">
        <v>0</v>
      </c>
    </row>
    <row r="322" spans="1:7" s="216" customFormat="1" ht="17.100000000000001" customHeight="1">
      <c r="A322" s="220" t="s">
        <v>50</v>
      </c>
      <c r="B322" s="219">
        <f>SUM(D322+F322)</f>
        <v>6</v>
      </c>
      <c r="C322" s="219">
        <f>SUM(E322+G322)</f>
        <v>283</v>
      </c>
      <c r="D322" s="219">
        <f t="shared" ref="D322:E322" si="57">SUM(D323)</f>
        <v>5</v>
      </c>
      <c r="E322" s="219">
        <f t="shared" si="57"/>
        <v>198</v>
      </c>
      <c r="F322" s="219">
        <f>SUM(F323)</f>
        <v>1</v>
      </c>
      <c r="G322" s="219">
        <f>SUM(G323)</f>
        <v>85</v>
      </c>
    </row>
    <row r="323" spans="1:7" s="216" customFormat="1" ht="17.100000000000001" customHeight="1">
      <c r="A323" s="221" t="s">
        <v>51</v>
      </c>
      <c r="B323" s="238">
        <f t="shared" si="56"/>
        <v>6</v>
      </c>
      <c r="C323" s="238">
        <f t="shared" si="56"/>
        <v>283</v>
      </c>
      <c r="D323" s="222">
        <v>5</v>
      </c>
      <c r="E323" s="222">
        <v>198</v>
      </c>
      <c r="F323" s="222">
        <v>1</v>
      </c>
      <c r="G323" s="222">
        <v>85</v>
      </c>
    </row>
    <row r="324" spans="1:7" s="216" customFormat="1" ht="17.100000000000001" customHeight="1">
      <c r="A324" s="220" t="s">
        <v>204</v>
      </c>
      <c r="B324" s="238">
        <f t="shared" si="56"/>
        <v>0</v>
      </c>
      <c r="C324" s="238">
        <f t="shared" si="56"/>
        <v>0</v>
      </c>
      <c r="D324" s="230">
        <v>0</v>
      </c>
      <c r="E324" s="230">
        <v>0</v>
      </c>
      <c r="F324" s="230">
        <v>0</v>
      </c>
      <c r="G324" s="230">
        <v>0</v>
      </c>
    </row>
    <row r="325" spans="1:7" ht="6" customHeight="1">
      <c r="A325" s="227"/>
      <c r="B325" s="228"/>
      <c r="C325" s="228"/>
      <c r="D325" s="228"/>
      <c r="E325" s="228"/>
      <c r="F325" s="228"/>
      <c r="G325" s="228"/>
    </row>
    <row r="326" spans="1:7">
      <c r="A326" s="227"/>
      <c r="G326" s="245" t="s">
        <v>170</v>
      </c>
    </row>
  </sheetData>
  <mergeCells count="45">
    <mergeCell ref="A288:A289"/>
    <mergeCell ref="B288:C288"/>
    <mergeCell ref="D288:E288"/>
    <mergeCell ref="F288:G288"/>
    <mergeCell ref="A206:G206"/>
    <mergeCell ref="A208:A209"/>
    <mergeCell ref="B208:C208"/>
    <mergeCell ref="D208:E208"/>
    <mergeCell ref="F208:G208"/>
    <mergeCell ref="A247:G247"/>
    <mergeCell ref="A249:A250"/>
    <mergeCell ref="B249:C249"/>
    <mergeCell ref="D249:E249"/>
    <mergeCell ref="F249:G249"/>
    <mergeCell ref="A286:G286"/>
    <mergeCell ref="A177:A178"/>
    <mergeCell ref="B177:C177"/>
    <mergeCell ref="D177:E177"/>
    <mergeCell ref="F177:G177"/>
    <mergeCell ref="A103:G103"/>
    <mergeCell ref="A105:A106"/>
    <mergeCell ref="B105:C105"/>
    <mergeCell ref="D105:E105"/>
    <mergeCell ref="F105:G105"/>
    <mergeCell ref="A140:G140"/>
    <mergeCell ref="A142:A143"/>
    <mergeCell ref="B142:C142"/>
    <mergeCell ref="D142:E142"/>
    <mergeCell ref="F142:G142"/>
    <mergeCell ref="A175:G175"/>
    <mergeCell ref="A76:A77"/>
    <mergeCell ref="B76:C76"/>
    <mergeCell ref="D76:E76"/>
    <mergeCell ref="F76:G76"/>
    <mergeCell ref="A1:G1"/>
    <mergeCell ref="A3:A4"/>
    <mergeCell ref="B3:C3"/>
    <mergeCell ref="D3:E3"/>
    <mergeCell ref="F3:G3"/>
    <mergeCell ref="A38:G38"/>
    <mergeCell ref="A40:A41"/>
    <mergeCell ref="B40:C40"/>
    <mergeCell ref="D40:E40"/>
    <mergeCell ref="F40:G40"/>
    <mergeCell ref="A74:G74"/>
  </mergeCells>
  <printOptions horizontalCentered="1"/>
  <pageMargins left="0.74803149606299202" right="0.74803149606299202" top="0.78740157480314998" bottom="0.53740157499999996" header="0.511811023622047" footer="0.511811023622047"/>
  <pageSetup paperSize="9" firstPageNumber="153" orientation="portrait" r:id="rId1"/>
  <headerFooter alignWithMargins="0">
    <oddHeader>&amp;C&amp;P</oddHeader>
  </headerFooter>
  <rowBreaks count="8" manualBreakCount="8">
    <brk id="37" max="6" man="1"/>
    <brk id="73" max="6" man="1"/>
    <brk id="102" max="6" man="1"/>
    <brk id="139" max="6" man="1"/>
    <brk id="174" max="6" man="1"/>
    <brk id="205" max="6" man="1"/>
    <brk id="246" max="6" man="1"/>
    <brk id="285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9"/>
  <sheetViews>
    <sheetView view="pageBreakPreview" zoomScaleSheetLayoutView="100" workbookViewId="0">
      <selection activeCell="I12" sqref="I12"/>
    </sheetView>
  </sheetViews>
  <sheetFormatPr defaultRowHeight="12.75"/>
  <cols>
    <col min="1" max="1" width="11.5703125" customWidth="1"/>
    <col min="2" max="2" width="9" style="19" customWidth="1"/>
    <col min="3" max="3" width="9.7109375" bestFit="1" customWidth="1"/>
    <col min="4" max="4" width="8.5703125" customWidth="1"/>
    <col min="5" max="5" width="9" style="19" customWidth="1"/>
    <col min="6" max="6" width="9" customWidth="1"/>
    <col min="7" max="7" width="8.5703125" style="37" customWidth="1"/>
    <col min="8" max="8" width="9" customWidth="1"/>
    <col min="9" max="9" width="8.85546875" customWidth="1"/>
    <col min="10" max="10" width="9.5703125" customWidth="1"/>
  </cols>
  <sheetData>
    <row r="1" spans="1:12" ht="60" customHeight="1">
      <c r="A1" s="262" t="s">
        <v>278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2" s="1" customFormat="1" ht="13.15" customHeight="1">
      <c r="A2" s="1" t="s">
        <v>149</v>
      </c>
      <c r="B2" s="16"/>
      <c r="E2" s="16"/>
      <c r="I2" s="275" t="s">
        <v>89</v>
      </c>
      <c r="J2" s="275"/>
    </row>
    <row r="3" spans="1:12" ht="20.100000000000001" customHeight="1">
      <c r="A3" s="274" t="s">
        <v>91</v>
      </c>
      <c r="B3" s="274" t="s">
        <v>176</v>
      </c>
      <c r="C3" s="274"/>
      <c r="D3" s="274"/>
      <c r="E3" s="274" t="s">
        <v>191</v>
      </c>
      <c r="F3" s="274"/>
      <c r="G3" s="274"/>
      <c r="H3" s="274" t="s">
        <v>201</v>
      </c>
      <c r="I3" s="274"/>
      <c r="J3" s="274"/>
      <c r="L3" s="50"/>
    </row>
    <row r="4" spans="1:12" ht="50.1" customHeight="1">
      <c r="A4" s="274"/>
      <c r="B4" s="86" t="s">
        <v>158</v>
      </c>
      <c r="C4" s="86" t="s">
        <v>155</v>
      </c>
      <c r="D4" s="86" t="s">
        <v>96</v>
      </c>
      <c r="E4" s="86" t="s">
        <v>158</v>
      </c>
      <c r="F4" s="86" t="s">
        <v>155</v>
      </c>
      <c r="G4" s="86" t="s">
        <v>96</v>
      </c>
      <c r="H4" s="86" t="s">
        <v>158</v>
      </c>
      <c r="I4" s="86" t="s">
        <v>155</v>
      </c>
      <c r="J4" s="86" t="s">
        <v>96</v>
      </c>
      <c r="L4" s="51"/>
    </row>
    <row r="5" spans="1:12" s="2" customFormat="1" ht="25.5" customHeight="1">
      <c r="A5" s="143" t="s">
        <v>137</v>
      </c>
      <c r="B5" s="144">
        <f>SUM(B6:B37)</f>
        <v>36199510</v>
      </c>
      <c r="C5" s="145">
        <f>SUM(C6:C37)</f>
        <v>21084</v>
      </c>
      <c r="D5" s="146">
        <f t="shared" ref="D5:D20" si="0">B5/C5</f>
        <v>1716.9185164105484</v>
      </c>
      <c r="E5" s="144">
        <f>SUM(E6:E37)</f>
        <v>37241295.034839757</v>
      </c>
      <c r="F5" s="147">
        <f>SUM(F6:F37)</f>
        <v>22257</v>
      </c>
      <c r="G5" s="147">
        <f t="shared" ref="G5:G20" si="1">E5/F5</f>
        <v>1673.2396565053582</v>
      </c>
      <c r="H5" s="147">
        <v>38168197</v>
      </c>
      <c r="I5" s="147">
        <f>SUM(I6:I37)</f>
        <v>22849</v>
      </c>
      <c r="J5" s="147">
        <f t="shared" ref="J5:J36" si="2">H5/I5</f>
        <v>1670.4537178869973</v>
      </c>
    </row>
    <row r="6" spans="1:12" s="2" customFormat="1" ht="16.7" customHeight="1">
      <c r="A6" s="87" t="s">
        <v>34</v>
      </c>
      <c r="B6" s="88">
        <v>1353896</v>
      </c>
      <c r="C6" s="88">
        <v>1410</v>
      </c>
      <c r="D6" s="89">
        <f t="shared" si="0"/>
        <v>960.20992907801417</v>
      </c>
      <c r="E6" s="90">
        <v>1383682.0348397547</v>
      </c>
      <c r="F6" s="90">
        <v>1356</v>
      </c>
      <c r="G6" s="91">
        <f t="shared" si="1"/>
        <v>1020.4144799703206</v>
      </c>
      <c r="H6" s="127">
        <v>1414311</v>
      </c>
      <c r="I6" s="91">
        <v>1356</v>
      </c>
      <c r="J6" s="91">
        <f t="shared" si="2"/>
        <v>1043.0022123893805</v>
      </c>
    </row>
    <row r="7" spans="1:12" s="2" customFormat="1" ht="16.7" customHeight="1">
      <c r="A7" s="92" t="s">
        <v>178</v>
      </c>
      <c r="B7" s="93">
        <v>1114972</v>
      </c>
      <c r="C7" s="88">
        <v>503</v>
      </c>
      <c r="D7" s="94">
        <f t="shared" si="0"/>
        <v>2216.6441351888666</v>
      </c>
      <c r="E7" s="95">
        <v>1151209</v>
      </c>
      <c r="F7" s="95">
        <v>569</v>
      </c>
      <c r="G7" s="91">
        <f t="shared" si="1"/>
        <v>2023.2144112478031</v>
      </c>
      <c r="H7" s="127">
        <v>1185094</v>
      </c>
      <c r="I7" s="91">
        <v>543</v>
      </c>
      <c r="J7" s="91">
        <f t="shared" si="2"/>
        <v>2182.4935543278084</v>
      </c>
      <c r="K7" s="1"/>
      <c r="L7" s="1"/>
    </row>
    <row r="8" spans="1:12" s="2" customFormat="1" ht="16.7" customHeight="1">
      <c r="A8" s="87" t="s">
        <v>53</v>
      </c>
      <c r="B8" s="88">
        <f>1188329+44204</f>
        <v>1232533</v>
      </c>
      <c r="C8" s="88">
        <v>848</v>
      </c>
      <c r="D8" s="89">
        <f t="shared" si="0"/>
        <v>1453.4587264150944</v>
      </c>
      <c r="E8" s="90">
        <v>1269103</v>
      </c>
      <c r="F8" s="90">
        <v>941</v>
      </c>
      <c r="G8" s="91">
        <f t="shared" si="1"/>
        <v>1348.6748140276302</v>
      </c>
      <c r="H8" s="127">
        <v>1305559</v>
      </c>
      <c r="I8" s="91">
        <v>941</v>
      </c>
      <c r="J8" s="91">
        <f t="shared" si="2"/>
        <v>1387.4165781083952</v>
      </c>
    </row>
    <row r="9" spans="1:12" s="2" customFormat="1" ht="16.7" customHeight="1">
      <c r="A9" s="87" t="s">
        <v>44</v>
      </c>
      <c r="B9" s="88">
        <v>484557</v>
      </c>
      <c r="C9" s="88">
        <v>214</v>
      </c>
      <c r="D9" s="89">
        <f t="shared" si="0"/>
        <v>2264.2850467289718</v>
      </c>
      <c r="E9" s="90">
        <v>495848</v>
      </c>
      <c r="F9" s="90">
        <v>214</v>
      </c>
      <c r="G9" s="91">
        <f t="shared" si="1"/>
        <v>2317.0467289719627</v>
      </c>
      <c r="H9" s="127">
        <v>507547</v>
      </c>
      <c r="I9" s="91">
        <v>214</v>
      </c>
      <c r="J9" s="91">
        <f t="shared" si="2"/>
        <v>2371.7149532710282</v>
      </c>
      <c r="K9" s="38"/>
    </row>
    <row r="10" spans="1:12" s="2" customFormat="1" ht="16.7" customHeight="1">
      <c r="A10" s="87" t="s">
        <v>80</v>
      </c>
      <c r="B10" s="88">
        <v>913716</v>
      </c>
      <c r="C10" s="88">
        <v>303</v>
      </c>
      <c r="D10" s="89">
        <f t="shared" si="0"/>
        <v>3015.5643564356437</v>
      </c>
      <c r="E10" s="90">
        <v>941585</v>
      </c>
      <c r="F10" s="90">
        <f>313+45</f>
        <v>358</v>
      </c>
      <c r="G10" s="91">
        <f t="shared" si="1"/>
        <v>2630.1256983240223</v>
      </c>
      <c r="H10" s="127">
        <v>968048</v>
      </c>
      <c r="I10" s="91">
        <v>358</v>
      </c>
      <c r="J10" s="91">
        <f t="shared" si="2"/>
        <v>2704.0446927374301</v>
      </c>
      <c r="K10" s="38"/>
    </row>
    <row r="11" spans="1:12" s="2" customFormat="1" ht="16.7" customHeight="1">
      <c r="A11" s="87" t="s">
        <v>17</v>
      </c>
      <c r="B11" s="88">
        <v>1644408</v>
      </c>
      <c r="C11" s="88">
        <v>440</v>
      </c>
      <c r="D11" s="89">
        <f t="shared" si="0"/>
        <v>3737.2909090909093</v>
      </c>
      <c r="E11" s="90">
        <v>1684532</v>
      </c>
      <c r="F11" s="90">
        <v>640</v>
      </c>
      <c r="G11" s="91">
        <f t="shared" si="1"/>
        <v>2632.0812500000002</v>
      </c>
      <c r="H11" s="127">
        <v>1719129</v>
      </c>
      <c r="I11" s="91">
        <v>640</v>
      </c>
      <c r="J11" s="91">
        <f t="shared" si="2"/>
        <v>2686.1390624999999</v>
      </c>
    </row>
    <row r="12" spans="1:12" s="2" customFormat="1" ht="16.7" customHeight="1">
      <c r="A12" s="87" t="s">
        <v>93</v>
      </c>
      <c r="B12" s="88">
        <v>452198</v>
      </c>
      <c r="C12" s="88">
        <v>306</v>
      </c>
      <c r="D12" s="94">
        <f t="shared" si="0"/>
        <v>1477.7712418300653</v>
      </c>
      <c r="E12" s="90">
        <v>460338</v>
      </c>
      <c r="F12" s="90">
        <v>320</v>
      </c>
      <c r="G12" s="91">
        <f t="shared" si="1"/>
        <v>1438.5562500000001</v>
      </c>
      <c r="H12" s="127">
        <v>468900</v>
      </c>
      <c r="I12" s="91">
        <v>320</v>
      </c>
      <c r="J12" s="91">
        <f t="shared" si="2"/>
        <v>1465.3125</v>
      </c>
    </row>
    <row r="13" spans="1:12" s="2" customFormat="1" ht="16.7" customHeight="1">
      <c r="A13" s="87" t="s">
        <v>57</v>
      </c>
      <c r="B13" s="88">
        <f>1667234+70031</f>
        <v>1737265</v>
      </c>
      <c r="C13" s="88">
        <v>673</v>
      </c>
      <c r="D13" s="94">
        <f t="shared" si="0"/>
        <v>2581.3744427934621</v>
      </c>
      <c r="E13" s="90">
        <v>1796892</v>
      </c>
      <c r="F13" s="90">
        <v>705</v>
      </c>
      <c r="G13" s="91">
        <f t="shared" si="1"/>
        <v>2548.7829787234041</v>
      </c>
      <c r="H13" s="127">
        <v>1855551</v>
      </c>
      <c r="I13" s="91">
        <v>705</v>
      </c>
      <c r="J13" s="91">
        <f t="shared" si="2"/>
        <v>2631.9872340425532</v>
      </c>
    </row>
    <row r="14" spans="1:12" s="2" customFormat="1" ht="16.7" customHeight="1">
      <c r="A14" s="87" t="s">
        <v>153</v>
      </c>
      <c r="B14" s="88">
        <v>1467794</v>
      </c>
      <c r="C14" s="88">
        <v>804</v>
      </c>
      <c r="D14" s="94">
        <f t="shared" si="0"/>
        <v>1825.6144278606964</v>
      </c>
      <c r="E14" s="90">
        <v>1522249</v>
      </c>
      <c r="F14" s="90">
        <v>799</v>
      </c>
      <c r="G14" s="91">
        <f t="shared" si="1"/>
        <v>1905.1927409261577</v>
      </c>
      <c r="H14" s="127">
        <v>1561530</v>
      </c>
      <c r="I14" s="91">
        <v>799</v>
      </c>
      <c r="J14" s="91">
        <f t="shared" si="2"/>
        <v>1954.3554443053818</v>
      </c>
    </row>
    <row r="15" spans="1:12" s="2" customFormat="1" ht="16.7" customHeight="1">
      <c r="A15" s="87" t="s">
        <v>154</v>
      </c>
      <c r="B15" s="88">
        <v>961403</v>
      </c>
      <c r="C15" s="88">
        <v>559</v>
      </c>
      <c r="D15" s="94">
        <f t="shared" si="0"/>
        <v>1719.8622540250446</v>
      </c>
      <c r="E15" s="90">
        <v>986784</v>
      </c>
      <c r="F15" s="90">
        <v>488</v>
      </c>
      <c r="G15" s="91">
        <f t="shared" si="1"/>
        <v>2022.0983606557377</v>
      </c>
      <c r="H15" s="127">
        <v>1029901</v>
      </c>
      <c r="I15" s="91">
        <v>488</v>
      </c>
      <c r="J15" s="91">
        <f t="shared" si="2"/>
        <v>2110.4528688524592</v>
      </c>
    </row>
    <row r="16" spans="1:12" s="2" customFormat="1" ht="16.7" customHeight="1">
      <c r="A16" s="87" t="s">
        <v>28</v>
      </c>
      <c r="B16" s="88">
        <v>528667</v>
      </c>
      <c r="C16" s="88">
        <v>321</v>
      </c>
      <c r="D16" s="94">
        <f t="shared" si="0"/>
        <v>1646.9376947040498</v>
      </c>
      <c r="E16" s="90">
        <v>542730</v>
      </c>
      <c r="F16" s="90">
        <v>248</v>
      </c>
      <c r="G16" s="91">
        <f t="shared" si="1"/>
        <v>2188.4274193548385</v>
      </c>
      <c r="H16" s="127">
        <v>557180</v>
      </c>
      <c r="I16" s="91">
        <v>318</v>
      </c>
      <c r="J16" s="91">
        <f t="shared" si="2"/>
        <v>1752.1383647798741</v>
      </c>
    </row>
    <row r="17" spans="1:12" s="2" customFormat="1" ht="16.7" customHeight="1">
      <c r="A17" s="87" t="s">
        <v>36</v>
      </c>
      <c r="B17" s="88">
        <v>1017176</v>
      </c>
      <c r="C17" s="88">
        <v>715</v>
      </c>
      <c r="D17" s="94">
        <f t="shared" si="0"/>
        <v>1422.6237762237763</v>
      </c>
      <c r="E17" s="90">
        <v>1037214</v>
      </c>
      <c r="F17" s="90">
        <v>723</v>
      </c>
      <c r="G17" s="91">
        <f t="shared" si="1"/>
        <v>1434.597510373444</v>
      </c>
      <c r="H17" s="127">
        <v>1055767</v>
      </c>
      <c r="I17" s="91">
        <v>806</v>
      </c>
      <c r="J17" s="91">
        <f t="shared" si="2"/>
        <v>1309.8846153846155</v>
      </c>
    </row>
    <row r="18" spans="1:12" s="2" customFormat="1" ht="16.7" customHeight="1">
      <c r="A18" s="87" t="s">
        <v>30</v>
      </c>
      <c r="B18" s="88">
        <v>717438</v>
      </c>
      <c r="C18" s="88">
        <v>532</v>
      </c>
      <c r="D18" s="94">
        <f t="shared" si="0"/>
        <v>1348.5676691729323</v>
      </c>
      <c r="E18" s="90">
        <v>736306</v>
      </c>
      <c r="F18" s="90">
        <v>590</v>
      </c>
      <c r="G18" s="91">
        <f t="shared" si="1"/>
        <v>1247.9762711864407</v>
      </c>
      <c r="H18" s="127">
        <v>754477</v>
      </c>
      <c r="I18" s="91">
        <v>590</v>
      </c>
      <c r="J18" s="91">
        <f t="shared" si="2"/>
        <v>1278.7745762711863</v>
      </c>
    </row>
    <row r="19" spans="1:12" s="2" customFormat="1" ht="16.7" customHeight="1">
      <c r="A19" s="92" t="s">
        <v>179</v>
      </c>
      <c r="B19" s="93">
        <v>1005596</v>
      </c>
      <c r="C19" s="88">
        <v>190</v>
      </c>
      <c r="D19" s="94">
        <f t="shared" si="0"/>
        <v>5292.6105263157897</v>
      </c>
      <c r="E19" s="95">
        <v>1037273</v>
      </c>
      <c r="F19" s="95">
        <v>232</v>
      </c>
      <c r="G19" s="91">
        <f t="shared" si="1"/>
        <v>4471.0043103448279</v>
      </c>
      <c r="H19" s="127">
        <v>1066721</v>
      </c>
      <c r="I19" s="91">
        <v>460</v>
      </c>
      <c r="J19" s="91">
        <f t="shared" si="2"/>
        <v>2318.9586956521739</v>
      </c>
      <c r="K19"/>
      <c r="L19"/>
    </row>
    <row r="20" spans="1:12" s="2" customFormat="1" ht="16.7" customHeight="1">
      <c r="A20" s="87" t="s">
        <v>26</v>
      </c>
      <c r="B20" s="88">
        <f>1011917+119682</f>
        <v>1131599</v>
      </c>
      <c r="C20" s="88">
        <v>522</v>
      </c>
      <c r="D20" s="94">
        <f t="shared" si="0"/>
        <v>2167.8141762452105</v>
      </c>
      <c r="E20" s="90">
        <v>1164116</v>
      </c>
      <c r="F20" s="90">
        <v>520</v>
      </c>
      <c r="G20" s="91">
        <f t="shared" si="1"/>
        <v>2238.6846153846154</v>
      </c>
      <c r="H20" s="127">
        <v>1196329</v>
      </c>
      <c r="I20" s="91">
        <v>520</v>
      </c>
      <c r="J20" s="91">
        <f t="shared" si="2"/>
        <v>2300.6326923076922</v>
      </c>
    </row>
    <row r="21" spans="1:12" s="2" customFormat="1" ht="16.7" customHeight="1">
      <c r="A21" s="87" t="s">
        <v>92</v>
      </c>
      <c r="B21" s="88">
        <v>797414</v>
      </c>
      <c r="C21" s="88" t="s">
        <v>247</v>
      </c>
      <c r="D21" s="94" t="s">
        <v>247</v>
      </c>
      <c r="E21" s="90">
        <v>818944</v>
      </c>
      <c r="F21" s="94" t="s">
        <v>247</v>
      </c>
      <c r="G21" s="94" t="s">
        <v>247</v>
      </c>
      <c r="H21" s="127">
        <v>841055</v>
      </c>
      <c r="I21" s="94" t="s">
        <v>247</v>
      </c>
      <c r="J21" s="91" t="s">
        <v>247</v>
      </c>
    </row>
    <row r="22" spans="1:12" s="2" customFormat="1" ht="16.7" customHeight="1">
      <c r="A22" s="92" t="s">
        <v>180</v>
      </c>
      <c r="B22" s="93">
        <v>625917</v>
      </c>
      <c r="C22" s="88">
        <v>332</v>
      </c>
      <c r="D22" s="94">
        <f t="shared" ref="D22:D36" si="3">B22/C22</f>
        <v>1885.2921686746988</v>
      </c>
      <c r="E22" s="95">
        <v>636620</v>
      </c>
      <c r="F22" s="95">
        <v>472</v>
      </c>
      <c r="G22" s="91">
        <f t="shared" ref="G22:G36" si="4">E22/F22</f>
        <v>1348.7711864406779</v>
      </c>
      <c r="H22" s="127">
        <v>642643</v>
      </c>
      <c r="I22" s="91">
        <v>552</v>
      </c>
      <c r="J22" s="91">
        <f t="shared" si="2"/>
        <v>1164.2083333333333</v>
      </c>
      <c r="K22" s="1"/>
      <c r="L22" s="1"/>
    </row>
    <row r="23" spans="1:12" s="2" customFormat="1" ht="16.7" customHeight="1">
      <c r="A23" s="87" t="s">
        <v>55</v>
      </c>
      <c r="B23" s="88">
        <f>895595+27712</f>
        <v>923307</v>
      </c>
      <c r="C23" s="88">
        <v>426</v>
      </c>
      <c r="D23" s="94">
        <f t="shared" si="3"/>
        <v>2167.3873239436621</v>
      </c>
      <c r="E23" s="90">
        <v>953070</v>
      </c>
      <c r="F23" s="90">
        <v>466</v>
      </c>
      <c r="G23" s="91">
        <f t="shared" si="4"/>
        <v>2045.2145922746781</v>
      </c>
      <c r="H23" s="127">
        <v>983159</v>
      </c>
      <c r="I23" s="91">
        <v>466</v>
      </c>
      <c r="J23" s="91">
        <f t="shared" si="2"/>
        <v>2109.783261802575</v>
      </c>
    </row>
    <row r="24" spans="1:12" s="2" customFormat="1" ht="16.7" customHeight="1">
      <c r="A24" s="87" t="s">
        <v>95</v>
      </c>
      <c r="B24" s="88">
        <v>730967</v>
      </c>
      <c r="C24" s="88">
        <v>460</v>
      </c>
      <c r="D24" s="94">
        <f t="shared" si="3"/>
        <v>1589.0586956521738</v>
      </c>
      <c r="E24" s="90">
        <v>749021</v>
      </c>
      <c r="F24" s="90">
        <v>460</v>
      </c>
      <c r="G24" s="91">
        <f t="shared" si="4"/>
        <v>1628.3065217391304</v>
      </c>
      <c r="H24" s="127">
        <v>764676</v>
      </c>
      <c r="I24" s="91">
        <v>460</v>
      </c>
      <c r="J24" s="91">
        <f t="shared" si="2"/>
        <v>1662.3391304347826</v>
      </c>
    </row>
    <row r="25" spans="1:12" s="2" customFormat="1" ht="16.7" customHeight="1">
      <c r="A25" s="87" t="s">
        <v>39</v>
      </c>
      <c r="B25" s="88">
        <v>1583961</v>
      </c>
      <c r="C25" s="88">
        <v>782</v>
      </c>
      <c r="D25" s="94">
        <f t="shared" si="3"/>
        <v>2025.5255754475704</v>
      </c>
      <c r="E25" s="90">
        <v>1623084</v>
      </c>
      <c r="F25" s="90">
        <v>748</v>
      </c>
      <c r="G25" s="91">
        <f t="shared" si="4"/>
        <v>2169.8983957219252</v>
      </c>
      <c r="H25" s="127">
        <v>1662407</v>
      </c>
      <c r="I25" s="91">
        <v>748</v>
      </c>
      <c r="J25" s="91">
        <f t="shared" si="2"/>
        <v>2222.4692513368982</v>
      </c>
    </row>
    <row r="26" spans="1:12" s="2" customFormat="1" ht="16.7" customHeight="1">
      <c r="A26" s="87" t="s">
        <v>20</v>
      </c>
      <c r="B26" s="88">
        <v>2416851</v>
      </c>
      <c r="C26" s="88">
        <v>752</v>
      </c>
      <c r="D26" s="94">
        <f t="shared" si="3"/>
        <v>3213.8976063829787</v>
      </c>
      <c r="E26" s="90">
        <v>2479205</v>
      </c>
      <c r="F26" s="90">
        <v>772</v>
      </c>
      <c r="G26" s="91">
        <f t="shared" si="4"/>
        <v>3211.4054404145077</v>
      </c>
      <c r="H26" s="127">
        <v>2544205</v>
      </c>
      <c r="I26" s="91">
        <v>772</v>
      </c>
      <c r="J26" s="91">
        <f t="shared" si="2"/>
        <v>3295.6023316062178</v>
      </c>
    </row>
    <row r="27" spans="1:12" s="2" customFormat="1" ht="16.7" customHeight="1">
      <c r="A27" s="92" t="s">
        <v>181</v>
      </c>
      <c r="B27" s="93">
        <v>471949</v>
      </c>
      <c r="C27" s="88">
        <v>118</v>
      </c>
      <c r="D27" s="94">
        <f t="shared" si="3"/>
        <v>3999.5677966101694</v>
      </c>
      <c r="E27" s="95">
        <v>480302</v>
      </c>
      <c r="F27" s="95">
        <v>118</v>
      </c>
      <c r="G27" s="91">
        <f t="shared" si="4"/>
        <v>4070.3559322033898</v>
      </c>
      <c r="H27" s="127">
        <v>497525</v>
      </c>
      <c r="I27" s="91">
        <v>158</v>
      </c>
      <c r="J27" s="91">
        <f t="shared" si="2"/>
        <v>3148.8924050632913</v>
      </c>
      <c r="K27"/>
      <c r="L27"/>
    </row>
    <row r="28" spans="1:12" s="2" customFormat="1" ht="16.7" customHeight="1">
      <c r="A28" s="92" t="s">
        <v>183</v>
      </c>
      <c r="B28" s="93">
        <v>550329</v>
      </c>
      <c r="C28" s="88">
        <v>330</v>
      </c>
      <c r="D28" s="94">
        <f t="shared" si="3"/>
        <v>1667.6636363636364</v>
      </c>
      <c r="E28" s="95">
        <v>562271</v>
      </c>
      <c r="F28" s="95">
        <v>390</v>
      </c>
      <c r="G28" s="91">
        <f t="shared" si="4"/>
        <v>1441.7205128205128</v>
      </c>
      <c r="H28" s="127">
        <v>571172</v>
      </c>
      <c r="I28" s="91">
        <v>360</v>
      </c>
      <c r="J28" s="91">
        <f t="shared" si="2"/>
        <v>1586.588888888889</v>
      </c>
      <c r="K28"/>
      <c r="L28"/>
    </row>
    <row r="29" spans="1:12" s="126" customFormat="1" ht="16.7" customHeight="1">
      <c r="A29" s="123" t="s">
        <v>15</v>
      </c>
      <c r="B29" s="124">
        <v>1550455</v>
      </c>
      <c r="C29" s="124">
        <v>856</v>
      </c>
      <c r="D29" s="94">
        <f t="shared" si="3"/>
        <v>1811.2792056074766</v>
      </c>
      <c r="E29" s="125">
        <v>1596039</v>
      </c>
      <c r="F29" s="90">
        <v>1056</v>
      </c>
      <c r="G29" s="91">
        <f t="shared" si="4"/>
        <v>1511.4005681818182</v>
      </c>
      <c r="H29" s="127">
        <v>1646053</v>
      </c>
      <c r="I29" s="91">
        <v>1056</v>
      </c>
      <c r="J29" s="91">
        <f t="shared" si="2"/>
        <v>1558.7623106060605</v>
      </c>
    </row>
    <row r="30" spans="1:12" s="2" customFormat="1" ht="16.7" customHeight="1">
      <c r="A30" s="92" t="s">
        <v>182</v>
      </c>
      <c r="B30" s="70">
        <v>255523</v>
      </c>
      <c r="C30" s="71">
        <v>228</v>
      </c>
      <c r="D30" s="94">
        <f t="shared" si="3"/>
        <v>1120.7149122807018</v>
      </c>
      <c r="E30" s="84">
        <v>257159</v>
      </c>
      <c r="F30" s="96">
        <v>270</v>
      </c>
      <c r="G30" s="91">
        <f t="shared" si="4"/>
        <v>952.44074074074069</v>
      </c>
      <c r="H30" s="127">
        <v>258681</v>
      </c>
      <c r="I30" s="97">
        <v>270</v>
      </c>
      <c r="J30" s="91">
        <f t="shared" si="2"/>
        <v>958.07777777777778</v>
      </c>
      <c r="K30"/>
    </row>
    <row r="31" spans="1:12" s="1" customFormat="1" ht="16.7" customHeight="1">
      <c r="A31" s="87" t="s">
        <v>13</v>
      </c>
      <c r="B31" s="71">
        <f>4390671+65141</f>
        <v>4455812</v>
      </c>
      <c r="C31" s="71">
        <v>5981</v>
      </c>
      <c r="D31" s="94">
        <f t="shared" si="3"/>
        <v>744.99448252800539</v>
      </c>
      <c r="E31" s="98">
        <v>4631631</v>
      </c>
      <c r="F31" s="98">
        <v>6020</v>
      </c>
      <c r="G31" s="91">
        <f t="shared" si="4"/>
        <v>769.37392026578073</v>
      </c>
      <c r="H31" s="127">
        <v>4812353</v>
      </c>
      <c r="I31" s="83">
        <v>6020</v>
      </c>
      <c r="J31" s="91">
        <f t="shared" si="2"/>
        <v>799.39418604651166</v>
      </c>
      <c r="K31" s="2"/>
      <c r="L31" s="2"/>
    </row>
    <row r="32" spans="1:12" ht="16.7" customHeight="1">
      <c r="A32" s="87" t="s">
        <v>94</v>
      </c>
      <c r="B32" s="71">
        <v>771252</v>
      </c>
      <c r="C32" s="71">
        <v>309</v>
      </c>
      <c r="D32" s="94">
        <f>B32/C32</f>
        <v>2495.9611650485435</v>
      </c>
      <c r="E32" s="98">
        <v>794081</v>
      </c>
      <c r="F32" s="98">
        <v>447</v>
      </c>
      <c r="G32" s="91">
        <f>E32/F32</f>
        <v>1776.4675615212527</v>
      </c>
      <c r="H32" s="127">
        <v>819941</v>
      </c>
      <c r="I32" s="83">
        <v>447</v>
      </c>
      <c r="J32" s="91">
        <f>H33/I32</f>
        <v>1606.7293064876958</v>
      </c>
    </row>
    <row r="33" spans="1:12" s="1" customFormat="1" ht="16.7" customHeight="1">
      <c r="A33" s="92" t="s">
        <v>184</v>
      </c>
      <c r="B33" s="70">
        <v>689085</v>
      </c>
      <c r="C33" s="71">
        <v>360</v>
      </c>
      <c r="D33" s="94">
        <f t="shared" si="3"/>
        <v>1914.125</v>
      </c>
      <c r="E33" s="84">
        <v>705830</v>
      </c>
      <c r="F33" s="84">
        <v>360</v>
      </c>
      <c r="G33" s="91">
        <f t="shared" si="4"/>
        <v>1960.6388888888889</v>
      </c>
      <c r="H33" s="127">
        <v>718208</v>
      </c>
      <c r="I33" s="83">
        <v>507</v>
      </c>
      <c r="J33" s="91">
        <f>H34/I33</f>
        <v>3423.1597633136093</v>
      </c>
      <c r="K33" s="2"/>
      <c r="L33" s="2"/>
    </row>
    <row r="34" spans="1:12" ht="16.7" customHeight="1">
      <c r="A34" s="87" t="s">
        <v>23</v>
      </c>
      <c r="B34" s="71">
        <v>1652973</v>
      </c>
      <c r="C34" s="71">
        <v>705</v>
      </c>
      <c r="D34" s="94">
        <f t="shared" si="3"/>
        <v>2344.6425531914892</v>
      </c>
      <c r="E34" s="98">
        <v>1693306</v>
      </c>
      <c r="F34" s="98">
        <v>845</v>
      </c>
      <c r="G34" s="91">
        <f t="shared" si="4"/>
        <v>2003.9124260355029</v>
      </c>
      <c r="H34" s="127">
        <v>1735542</v>
      </c>
      <c r="I34" s="83">
        <v>845</v>
      </c>
      <c r="J34" s="91">
        <f t="shared" si="2"/>
        <v>2053.8958579881655</v>
      </c>
      <c r="K34" s="2"/>
      <c r="L34" s="2"/>
    </row>
    <row r="35" spans="1:12" ht="16.7" customHeight="1">
      <c r="A35" s="87" t="s">
        <v>71</v>
      </c>
      <c r="B35" s="71">
        <v>2354387</v>
      </c>
      <c r="C35" s="71">
        <v>822</v>
      </c>
      <c r="D35" s="94">
        <f t="shared" si="3"/>
        <v>2864.2177615571777</v>
      </c>
      <c r="E35" s="98">
        <v>2430669</v>
      </c>
      <c r="F35" s="98">
        <v>847</v>
      </c>
      <c r="G35" s="91">
        <f t="shared" si="4"/>
        <v>2869.7390791027156</v>
      </c>
      <c r="H35" s="127">
        <v>2508395</v>
      </c>
      <c r="I35" s="83">
        <v>847</v>
      </c>
      <c r="J35" s="91">
        <f t="shared" si="2"/>
        <v>2961.5053128689492</v>
      </c>
      <c r="K35" s="2"/>
      <c r="L35" s="2"/>
    </row>
    <row r="36" spans="1:12" ht="16.7" customHeight="1">
      <c r="A36" s="87" t="s">
        <v>51</v>
      </c>
      <c r="B36" s="71">
        <f>398112+36726</f>
        <v>434838</v>
      </c>
      <c r="C36" s="71">
        <v>283</v>
      </c>
      <c r="D36" s="94">
        <f t="shared" si="3"/>
        <v>1536.530035335689</v>
      </c>
      <c r="E36" s="98">
        <v>445953</v>
      </c>
      <c r="F36" s="98">
        <v>283</v>
      </c>
      <c r="G36" s="91">
        <f t="shared" si="4"/>
        <v>1575.8056537102473</v>
      </c>
      <c r="H36" s="127">
        <v>455827</v>
      </c>
      <c r="I36" s="83">
        <v>283</v>
      </c>
      <c r="J36" s="91">
        <f t="shared" si="2"/>
        <v>1610.696113074205</v>
      </c>
      <c r="K36" s="2"/>
      <c r="L36" s="2"/>
    </row>
    <row r="37" spans="1:12" ht="16.7" customHeight="1">
      <c r="A37" s="87" t="s">
        <v>147</v>
      </c>
      <c r="B37" s="70">
        <v>171272</v>
      </c>
      <c r="C37" s="94" t="s">
        <v>247</v>
      </c>
      <c r="D37" s="94" t="s">
        <v>247</v>
      </c>
      <c r="E37" s="98">
        <v>174249</v>
      </c>
      <c r="F37" s="94" t="s">
        <v>247</v>
      </c>
      <c r="G37" s="94" t="s">
        <v>247</v>
      </c>
      <c r="H37" s="127">
        <v>187620</v>
      </c>
      <c r="I37" s="83" t="s">
        <v>247</v>
      </c>
      <c r="J37" s="91" t="s">
        <v>247</v>
      </c>
      <c r="K37" s="2"/>
      <c r="L37" s="2"/>
    </row>
    <row r="38" spans="1:12" ht="13.15" customHeight="1">
      <c r="A38" s="9" t="s">
        <v>260</v>
      </c>
      <c r="B38" s="1"/>
      <c r="C38" s="1"/>
      <c r="D38" s="1"/>
      <c r="E38" s="1"/>
      <c r="F38" s="1"/>
      <c r="G38" s="1"/>
      <c r="H38" s="1"/>
      <c r="I38" s="1"/>
    </row>
    <row r="39" spans="1:12" s="1" customFormat="1" ht="13.15" customHeight="1">
      <c r="B39" s="17"/>
      <c r="C39" s="250"/>
      <c r="E39" s="16"/>
      <c r="F39" s="250"/>
      <c r="G39" s="16"/>
      <c r="H39" s="250"/>
      <c r="I39" s="250"/>
      <c r="J39" s="18" t="s">
        <v>165</v>
      </c>
    </row>
  </sheetData>
  <sortState ref="A6:L37">
    <sortCondition ref="A6:A37"/>
  </sortState>
  <mergeCells count="6">
    <mergeCell ref="A1:J1"/>
    <mergeCell ref="A3:A4"/>
    <mergeCell ref="E3:G3"/>
    <mergeCell ref="B3:D3"/>
    <mergeCell ref="I2:J2"/>
    <mergeCell ref="H3:J3"/>
  </mergeCells>
  <phoneticPr fontId="0" type="noConversion"/>
  <printOptions horizontalCentered="1"/>
  <pageMargins left="0.62992125984252001" right="0.5" top="0.98425196850393704" bottom="0.78740157480314998" header="0.511811023622047" footer="0.511811023622047"/>
  <pageSetup paperSize="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12"/>
  <sheetViews>
    <sheetView view="pageBreakPreview" zoomScaleSheetLayoutView="100" workbookViewId="0">
      <selection activeCell="I12" sqref="I12"/>
    </sheetView>
  </sheetViews>
  <sheetFormatPr defaultRowHeight="12.75"/>
  <cols>
    <col min="1" max="1" width="13.42578125" customWidth="1"/>
    <col min="2" max="2" width="7.7109375" bestFit="1" customWidth="1"/>
    <col min="3" max="3" width="12" bestFit="1" customWidth="1"/>
    <col min="4" max="4" width="10.5703125" customWidth="1"/>
    <col min="5" max="5" width="9" bestFit="1" customWidth="1"/>
    <col min="6" max="7" width="6.7109375" customWidth="1"/>
    <col min="8" max="8" width="9.5703125" customWidth="1"/>
    <col min="9" max="9" width="11.140625" customWidth="1"/>
  </cols>
  <sheetData>
    <row r="1" spans="1:9" ht="60" customHeight="1">
      <c r="A1" s="262" t="s">
        <v>249</v>
      </c>
      <c r="B1" s="262"/>
      <c r="C1" s="262"/>
      <c r="D1" s="262"/>
      <c r="E1" s="262"/>
      <c r="F1" s="262"/>
      <c r="G1" s="262"/>
      <c r="H1" s="262"/>
      <c r="I1" s="262"/>
    </row>
    <row r="2" spans="1:9" s="1" customFormat="1" ht="13.15" customHeight="1">
      <c r="A2" s="1" t="s">
        <v>150</v>
      </c>
      <c r="E2" s="43" t="s">
        <v>175</v>
      </c>
      <c r="H2" s="275" t="s">
        <v>89</v>
      </c>
      <c r="I2" s="275"/>
    </row>
    <row r="3" spans="1:9" ht="48">
      <c r="A3" s="99" t="s">
        <v>91</v>
      </c>
      <c r="B3" s="39" t="s">
        <v>97</v>
      </c>
      <c r="C3" s="39" t="s">
        <v>144</v>
      </c>
      <c r="D3" s="39" t="s">
        <v>98</v>
      </c>
      <c r="E3" s="39" t="s">
        <v>99</v>
      </c>
      <c r="F3" s="39" t="s">
        <v>250</v>
      </c>
      <c r="G3" s="39" t="s">
        <v>251</v>
      </c>
      <c r="H3" s="40" t="s">
        <v>194</v>
      </c>
      <c r="I3" s="39" t="s">
        <v>272</v>
      </c>
    </row>
    <row r="4" spans="1:9" ht="24" customHeight="1">
      <c r="A4" s="15" t="s">
        <v>137</v>
      </c>
      <c r="B4" s="62">
        <f>SUM(B5:B36)</f>
        <v>7849</v>
      </c>
      <c r="C4" s="62">
        <f t="shared" ref="C4:I4" si="0">SUM(C5:C36)</f>
        <v>53</v>
      </c>
      <c r="D4" s="62">
        <f t="shared" si="0"/>
        <v>498</v>
      </c>
      <c r="E4" s="62">
        <f t="shared" si="0"/>
        <v>5885</v>
      </c>
      <c r="F4" s="62">
        <f t="shared" si="0"/>
        <v>1319</v>
      </c>
      <c r="G4" s="62">
        <f t="shared" si="0"/>
        <v>2807</v>
      </c>
      <c r="H4" s="62">
        <f t="shared" si="0"/>
        <v>1481</v>
      </c>
      <c r="I4" s="62">
        <f t="shared" si="0"/>
        <v>16366</v>
      </c>
    </row>
    <row r="5" spans="1:9" ht="17.25" customHeight="1">
      <c r="A5" s="4" t="s">
        <v>34</v>
      </c>
      <c r="B5" s="63">
        <v>460</v>
      </c>
      <c r="C5" s="63">
        <v>3</v>
      </c>
      <c r="D5" s="63">
        <v>21</v>
      </c>
      <c r="E5" s="63">
        <v>198</v>
      </c>
      <c r="F5" s="64">
        <v>51</v>
      </c>
      <c r="G5" s="63">
        <v>117</v>
      </c>
      <c r="H5" s="63">
        <v>59</v>
      </c>
      <c r="I5" s="63">
        <v>909</v>
      </c>
    </row>
    <row r="6" spans="1:9" ht="17.25" customHeight="1">
      <c r="A6" s="49" t="s">
        <v>178</v>
      </c>
      <c r="B6" s="63">
        <v>124</v>
      </c>
      <c r="C6" s="63" t="s">
        <v>247</v>
      </c>
      <c r="D6" s="63">
        <v>5</v>
      </c>
      <c r="E6" s="59">
        <v>40</v>
      </c>
      <c r="F6" s="59" t="s">
        <v>247</v>
      </c>
      <c r="G6" s="59">
        <v>62</v>
      </c>
      <c r="H6" s="59">
        <v>31</v>
      </c>
      <c r="I6" s="59">
        <v>326</v>
      </c>
    </row>
    <row r="7" spans="1:9" ht="17.25" customHeight="1">
      <c r="A7" s="4" t="s">
        <v>53</v>
      </c>
      <c r="B7" s="63">
        <f>387+12</f>
        <v>399</v>
      </c>
      <c r="C7" s="63">
        <v>2</v>
      </c>
      <c r="D7" s="63">
        <v>10</v>
      </c>
      <c r="E7" s="63">
        <v>299</v>
      </c>
      <c r="F7" s="64">
        <v>52</v>
      </c>
      <c r="G7" s="63">
        <f>171+75</f>
        <v>246</v>
      </c>
      <c r="H7" s="63">
        <f>40+22</f>
        <v>62</v>
      </c>
      <c r="I7" s="63">
        <f>642+29</f>
        <v>671</v>
      </c>
    </row>
    <row r="8" spans="1:9" ht="17.25" customHeight="1">
      <c r="A8" s="4" t="s">
        <v>44</v>
      </c>
      <c r="B8" s="63">
        <v>128</v>
      </c>
      <c r="C8" s="63" t="s">
        <v>247</v>
      </c>
      <c r="D8" s="63">
        <v>9</v>
      </c>
      <c r="E8" s="63">
        <v>88</v>
      </c>
      <c r="F8" s="64">
        <v>9</v>
      </c>
      <c r="G8" s="63">
        <v>47</v>
      </c>
      <c r="H8" s="63">
        <v>32</v>
      </c>
      <c r="I8" s="63">
        <v>293</v>
      </c>
    </row>
    <row r="9" spans="1:9" ht="17.25" customHeight="1">
      <c r="A9" s="4" t="s">
        <v>80</v>
      </c>
      <c r="B9" s="63">
        <v>208</v>
      </c>
      <c r="C9" s="63">
        <v>1</v>
      </c>
      <c r="D9" s="63">
        <v>14</v>
      </c>
      <c r="E9" s="63">
        <v>91</v>
      </c>
      <c r="F9" s="64">
        <v>51</v>
      </c>
      <c r="G9" s="63">
        <v>33</v>
      </c>
      <c r="H9" s="63">
        <v>23</v>
      </c>
      <c r="I9" s="63">
        <v>322</v>
      </c>
    </row>
    <row r="10" spans="1:9" ht="17.25" customHeight="1">
      <c r="A10" s="4" t="s">
        <v>17</v>
      </c>
      <c r="B10" s="63">
        <v>410</v>
      </c>
      <c r="C10" s="63">
        <v>1</v>
      </c>
      <c r="D10" s="63">
        <v>19</v>
      </c>
      <c r="E10" s="63">
        <v>156</v>
      </c>
      <c r="F10" s="64">
        <v>87</v>
      </c>
      <c r="G10" s="63">
        <v>77</v>
      </c>
      <c r="H10" s="63">
        <v>51</v>
      </c>
      <c r="I10" s="63">
        <v>505</v>
      </c>
    </row>
    <row r="11" spans="1:9" ht="17.25" customHeight="1">
      <c r="A11" s="4" t="s">
        <v>93</v>
      </c>
      <c r="B11" s="63">
        <v>212</v>
      </c>
      <c r="C11" s="63">
        <v>1</v>
      </c>
      <c r="D11" s="63">
        <v>20</v>
      </c>
      <c r="E11" s="63">
        <v>139</v>
      </c>
      <c r="F11" s="64">
        <v>55</v>
      </c>
      <c r="G11" s="63">
        <v>88</v>
      </c>
      <c r="H11" s="63">
        <v>30</v>
      </c>
      <c r="I11" s="63">
        <v>395</v>
      </c>
    </row>
    <row r="12" spans="1:9" ht="17.25" customHeight="1">
      <c r="A12" s="4" t="s">
        <v>57</v>
      </c>
      <c r="B12" s="63">
        <f>326+7</f>
        <v>333</v>
      </c>
      <c r="C12" s="63">
        <v>4</v>
      </c>
      <c r="D12" s="63">
        <v>17</v>
      </c>
      <c r="E12" s="63">
        <v>270</v>
      </c>
      <c r="F12" s="64">
        <v>50</v>
      </c>
      <c r="G12" s="63">
        <f>114+14</f>
        <v>128</v>
      </c>
      <c r="H12" s="63">
        <f>61+6</f>
        <v>67</v>
      </c>
      <c r="I12" s="63">
        <f>790+38</f>
        <v>828</v>
      </c>
    </row>
    <row r="13" spans="1:9" ht="17.25" customHeight="1">
      <c r="A13" s="4" t="s">
        <v>153</v>
      </c>
      <c r="B13" s="63">
        <v>431</v>
      </c>
      <c r="C13" s="63">
        <v>2</v>
      </c>
      <c r="D13" s="63">
        <v>22</v>
      </c>
      <c r="E13" s="63">
        <v>230</v>
      </c>
      <c r="F13" s="64">
        <v>69</v>
      </c>
      <c r="G13" s="63">
        <v>55</v>
      </c>
      <c r="H13" s="63">
        <v>51</v>
      </c>
      <c r="I13" s="63">
        <v>570</v>
      </c>
    </row>
    <row r="14" spans="1:9" ht="17.25" customHeight="1">
      <c r="A14" s="4" t="s">
        <v>154</v>
      </c>
      <c r="B14" s="63">
        <v>232</v>
      </c>
      <c r="C14" s="63" t="s">
        <v>247</v>
      </c>
      <c r="D14" s="63">
        <v>16</v>
      </c>
      <c r="E14" s="63">
        <v>117</v>
      </c>
      <c r="F14" s="64">
        <v>32</v>
      </c>
      <c r="G14" s="63">
        <v>46</v>
      </c>
      <c r="H14" s="63">
        <v>51</v>
      </c>
      <c r="I14" s="63">
        <v>410</v>
      </c>
    </row>
    <row r="15" spans="1:9" ht="17.25" customHeight="1">
      <c r="A15" s="4" t="s">
        <v>28</v>
      </c>
      <c r="B15" s="63">
        <v>122</v>
      </c>
      <c r="C15" s="63" t="s">
        <v>247</v>
      </c>
      <c r="D15" s="63">
        <v>12</v>
      </c>
      <c r="E15" s="63">
        <v>60</v>
      </c>
      <c r="F15" s="64">
        <v>34</v>
      </c>
      <c r="G15" s="63">
        <v>26</v>
      </c>
      <c r="H15" s="63">
        <v>22</v>
      </c>
      <c r="I15" s="63">
        <v>170</v>
      </c>
    </row>
    <row r="16" spans="1:9" ht="17.25" customHeight="1">
      <c r="A16" s="4" t="s">
        <v>36</v>
      </c>
      <c r="B16" s="63">
        <v>285</v>
      </c>
      <c r="C16" s="63">
        <v>1</v>
      </c>
      <c r="D16" s="63">
        <v>25</v>
      </c>
      <c r="E16" s="63">
        <v>139</v>
      </c>
      <c r="F16" s="64">
        <v>37</v>
      </c>
      <c r="G16" s="63">
        <v>75</v>
      </c>
      <c r="H16" s="63">
        <v>57</v>
      </c>
      <c r="I16" s="63">
        <v>471</v>
      </c>
    </row>
    <row r="17" spans="1:9" ht="17.25" customHeight="1">
      <c r="A17" s="4" t="s">
        <v>30</v>
      </c>
      <c r="B17" s="63">
        <v>239</v>
      </c>
      <c r="C17" s="63">
        <v>1</v>
      </c>
      <c r="D17" s="63">
        <v>18</v>
      </c>
      <c r="E17" s="63">
        <v>163</v>
      </c>
      <c r="F17" s="64">
        <v>86</v>
      </c>
      <c r="G17" s="63">
        <v>51</v>
      </c>
      <c r="H17" s="63">
        <v>33</v>
      </c>
      <c r="I17" s="63">
        <v>390</v>
      </c>
    </row>
    <row r="18" spans="1:9" ht="17.25" customHeight="1">
      <c r="A18" s="49" t="s">
        <v>179</v>
      </c>
      <c r="B18" s="63">
        <v>75</v>
      </c>
      <c r="C18" s="63" t="s">
        <v>247</v>
      </c>
      <c r="D18" s="63">
        <v>4</v>
      </c>
      <c r="E18" s="59">
        <v>55</v>
      </c>
      <c r="F18" s="59" t="s">
        <v>247</v>
      </c>
      <c r="G18" s="59">
        <v>59</v>
      </c>
      <c r="H18" s="59">
        <v>23</v>
      </c>
      <c r="I18" s="59">
        <v>221</v>
      </c>
    </row>
    <row r="19" spans="1:9" ht="17.25" customHeight="1">
      <c r="A19" s="4" t="s">
        <v>26</v>
      </c>
      <c r="B19" s="63">
        <f>367+13</f>
        <v>380</v>
      </c>
      <c r="C19" s="63">
        <v>2</v>
      </c>
      <c r="D19" s="63">
        <f>19+1</f>
        <v>20</v>
      </c>
      <c r="E19" s="63">
        <v>169</v>
      </c>
      <c r="F19" s="64">
        <v>43</v>
      </c>
      <c r="G19" s="63">
        <f>70+19</f>
        <v>89</v>
      </c>
      <c r="H19" s="63">
        <f>28+11</f>
        <v>39</v>
      </c>
      <c r="I19" s="63">
        <f>360+32</f>
        <v>392</v>
      </c>
    </row>
    <row r="20" spans="1:9" ht="17.25" customHeight="1">
      <c r="A20" s="4" t="s">
        <v>92</v>
      </c>
      <c r="B20" s="63">
        <v>33</v>
      </c>
      <c r="C20" s="63" t="s">
        <v>247</v>
      </c>
      <c r="D20" s="63">
        <v>6</v>
      </c>
      <c r="E20" s="63">
        <v>9</v>
      </c>
      <c r="F20" s="64" t="s">
        <v>247</v>
      </c>
      <c r="G20" s="63">
        <v>43</v>
      </c>
      <c r="H20" s="63">
        <v>38</v>
      </c>
      <c r="I20" s="63">
        <v>211</v>
      </c>
    </row>
    <row r="21" spans="1:9" ht="17.25" customHeight="1">
      <c r="A21" s="49" t="s">
        <v>180</v>
      </c>
      <c r="B21" s="63">
        <v>96</v>
      </c>
      <c r="C21" s="63" t="s">
        <v>247</v>
      </c>
      <c r="D21" s="63">
        <v>5</v>
      </c>
      <c r="E21" s="59">
        <v>45</v>
      </c>
      <c r="F21" s="59" t="s">
        <v>247</v>
      </c>
      <c r="G21" s="59">
        <v>85</v>
      </c>
      <c r="H21" s="59">
        <v>28</v>
      </c>
      <c r="I21" s="59">
        <v>356</v>
      </c>
    </row>
    <row r="22" spans="1:9" ht="17.25" customHeight="1">
      <c r="A22" s="4" t="s">
        <v>55</v>
      </c>
      <c r="B22" s="63">
        <f>236+3</f>
        <v>239</v>
      </c>
      <c r="C22" s="63">
        <v>2</v>
      </c>
      <c r="D22" s="63">
        <v>17</v>
      </c>
      <c r="E22" s="63">
        <v>160</v>
      </c>
      <c r="F22" s="64">
        <v>26</v>
      </c>
      <c r="G22" s="63">
        <f>81+15</f>
        <v>96</v>
      </c>
      <c r="H22" s="63">
        <f>49+7</f>
        <v>56</v>
      </c>
      <c r="I22" s="63">
        <f>459+5</f>
        <v>464</v>
      </c>
    </row>
    <row r="23" spans="1:9" ht="17.25" customHeight="1">
      <c r="A23" s="4" t="s">
        <v>95</v>
      </c>
      <c r="B23" s="63">
        <v>291</v>
      </c>
      <c r="C23" s="63">
        <v>2</v>
      </c>
      <c r="D23" s="63">
        <v>25</v>
      </c>
      <c r="E23" s="63">
        <v>126</v>
      </c>
      <c r="F23" s="64">
        <v>71</v>
      </c>
      <c r="G23" s="63">
        <v>52</v>
      </c>
      <c r="H23" s="63">
        <v>30</v>
      </c>
      <c r="I23" s="63">
        <v>473</v>
      </c>
    </row>
    <row r="24" spans="1:9" ht="17.25" customHeight="1">
      <c r="A24" s="4" t="s">
        <v>39</v>
      </c>
      <c r="B24" s="63">
        <v>459</v>
      </c>
      <c r="C24" s="63">
        <v>2</v>
      </c>
      <c r="D24" s="63">
        <v>33</v>
      </c>
      <c r="E24" s="63">
        <v>146</v>
      </c>
      <c r="F24" s="64">
        <v>69</v>
      </c>
      <c r="G24" s="63">
        <v>123</v>
      </c>
      <c r="H24" s="63">
        <v>65</v>
      </c>
      <c r="I24" s="63">
        <v>682</v>
      </c>
    </row>
    <row r="25" spans="1:9" ht="17.25" customHeight="1">
      <c r="A25" s="4" t="s">
        <v>20</v>
      </c>
      <c r="B25" s="63">
        <v>498</v>
      </c>
      <c r="C25" s="63">
        <v>4</v>
      </c>
      <c r="D25" s="63">
        <v>27</v>
      </c>
      <c r="E25" s="63">
        <v>346</v>
      </c>
      <c r="F25" s="64">
        <v>141</v>
      </c>
      <c r="G25" s="63">
        <v>85</v>
      </c>
      <c r="H25" s="63">
        <v>73</v>
      </c>
      <c r="I25" s="63">
        <v>856</v>
      </c>
    </row>
    <row r="26" spans="1:9" ht="17.25" customHeight="1">
      <c r="A26" s="49" t="s">
        <v>181</v>
      </c>
      <c r="B26" s="63">
        <v>67</v>
      </c>
      <c r="C26" s="63" t="s">
        <v>247</v>
      </c>
      <c r="D26" s="63">
        <v>1</v>
      </c>
      <c r="E26" s="59">
        <v>32</v>
      </c>
      <c r="F26" s="59" t="s">
        <v>247</v>
      </c>
      <c r="G26" s="59">
        <v>26</v>
      </c>
      <c r="H26" s="59">
        <v>32</v>
      </c>
      <c r="I26" s="59">
        <v>231</v>
      </c>
    </row>
    <row r="27" spans="1:9" ht="17.25" customHeight="1">
      <c r="A27" s="49" t="s">
        <v>183</v>
      </c>
      <c r="B27" s="63">
        <v>87</v>
      </c>
      <c r="C27" s="63" t="s">
        <v>247</v>
      </c>
      <c r="D27" s="63">
        <v>12</v>
      </c>
      <c r="E27" s="59">
        <v>51</v>
      </c>
      <c r="F27" s="59" t="s">
        <v>247</v>
      </c>
      <c r="G27" s="59">
        <v>291</v>
      </c>
      <c r="H27" s="59">
        <v>134</v>
      </c>
      <c r="I27" s="59">
        <v>572</v>
      </c>
    </row>
    <row r="28" spans="1:9" ht="17.25" customHeight="1">
      <c r="A28" s="4" t="s">
        <v>15</v>
      </c>
      <c r="B28" s="63">
        <v>308</v>
      </c>
      <c r="C28" s="63">
        <v>2</v>
      </c>
      <c r="D28" s="63">
        <v>22</v>
      </c>
      <c r="E28" s="63">
        <v>227</v>
      </c>
      <c r="F28" s="64">
        <v>70</v>
      </c>
      <c r="G28" s="63">
        <v>48</v>
      </c>
      <c r="H28" s="63">
        <v>44</v>
      </c>
      <c r="I28" s="63">
        <v>463</v>
      </c>
    </row>
    <row r="29" spans="1:9" ht="17.25" customHeight="1">
      <c r="A29" s="49" t="s">
        <v>182</v>
      </c>
      <c r="B29" s="63">
        <v>63</v>
      </c>
      <c r="C29" s="63" t="s">
        <v>247</v>
      </c>
      <c r="D29" s="63">
        <v>3</v>
      </c>
      <c r="E29" s="59">
        <v>7</v>
      </c>
      <c r="F29" s="59" t="s">
        <v>247</v>
      </c>
      <c r="G29" s="59">
        <v>27</v>
      </c>
      <c r="H29" s="59">
        <v>29</v>
      </c>
      <c r="I29" s="59">
        <v>171</v>
      </c>
    </row>
    <row r="30" spans="1:9" s="1" customFormat="1" ht="17.25" customHeight="1">
      <c r="A30" s="4" t="s">
        <v>13</v>
      </c>
      <c r="B30" s="63">
        <f>440+13</f>
        <v>453</v>
      </c>
      <c r="C30" s="63">
        <v>15</v>
      </c>
      <c r="D30" s="63">
        <f>33+1</f>
        <v>34</v>
      </c>
      <c r="E30" s="63">
        <v>1661</v>
      </c>
      <c r="F30" s="64">
        <v>52</v>
      </c>
      <c r="G30" s="63">
        <f>352+9</f>
        <v>361</v>
      </c>
      <c r="H30" s="63">
        <f>104+11</f>
        <v>115</v>
      </c>
      <c r="I30" s="63">
        <f>2678+31</f>
        <v>2709</v>
      </c>
    </row>
    <row r="31" spans="1:9" ht="17.25" customHeight="1">
      <c r="A31" s="49" t="s">
        <v>184</v>
      </c>
      <c r="B31" s="63">
        <v>104</v>
      </c>
      <c r="C31" s="63" t="s">
        <v>247</v>
      </c>
      <c r="D31" s="63">
        <v>3</v>
      </c>
      <c r="E31" s="59">
        <v>33</v>
      </c>
      <c r="F31" s="59" t="s">
        <v>247</v>
      </c>
      <c r="G31" s="59">
        <v>96</v>
      </c>
      <c r="H31" s="59">
        <v>30</v>
      </c>
      <c r="I31" s="59">
        <v>310</v>
      </c>
    </row>
    <row r="32" spans="1:9" s="1" customFormat="1" ht="17.25" customHeight="1">
      <c r="A32" s="4" t="s">
        <v>94</v>
      </c>
      <c r="B32" s="63">
        <v>186</v>
      </c>
      <c r="C32" s="63">
        <v>2</v>
      </c>
      <c r="D32" s="63">
        <v>18</v>
      </c>
      <c r="E32" s="63">
        <v>109</v>
      </c>
      <c r="F32" s="64">
        <v>34</v>
      </c>
      <c r="G32" s="63">
        <v>26</v>
      </c>
      <c r="H32" s="63">
        <v>17</v>
      </c>
      <c r="I32" s="63">
        <v>295</v>
      </c>
    </row>
    <row r="33" spans="1:9" ht="17.25" customHeight="1">
      <c r="A33" s="4" t="s">
        <v>23</v>
      </c>
      <c r="B33" s="63">
        <v>337</v>
      </c>
      <c r="C33" s="63">
        <v>2</v>
      </c>
      <c r="D33" s="63">
        <v>24</v>
      </c>
      <c r="E33" s="63">
        <v>190</v>
      </c>
      <c r="F33" s="64">
        <v>55</v>
      </c>
      <c r="G33" s="63">
        <v>77</v>
      </c>
      <c r="H33" s="63">
        <v>50</v>
      </c>
      <c r="I33" s="63">
        <v>589</v>
      </c>
    </row>
    <row r="34" spans="1:9" ht="17.25" customHeight="1">
      <c r="A34" s="4" t="s">
        <v>71</v>
      </c>
      <c r="B34" s="63">
        <v>471</v>
      </c>
      <c r="C34" s="63">
        <v>4</v>
      </c>
      <c r="D34" s="63">
        <v>26</v>
      </c>
      <c r="E34" s="63">
        <v>483</v>
      </c>
      <c r="F34" s="64">
        <v>97</v>
      </c>
      <c r="G34" s="63">
        <v>85</v>
      </c>
      <c r="H34" s="63">
        <v>60</v>
      </c>
      <c r="I34" s="63">
        <v>799</v>
      </c>
    </row>
    <row r="35" spans="1:9" ht="17.25" customHeight="1">
      <c r="A35" s="4" t="s">
        <v>51</v>
      </c>
      <c r="B35" s="63">
        <f>98+12</f>
        <v>110</v>
      </c>
      <c r="C35" s="63" t="s">
        <v>247</v>
      </c>
      <c r="D35" s="63">
        <v>10</v>
      </c>
      <c r="E35" s="63">
        <v>46</v>
      </c>
      <c r="F35" s="64">
        <v>48</v>
      </c>
      <c r="G35" s="63">
        <f>33+54</f>
        <v>87</v>
      </c>
      <c r="H35" s="63">
        <f>29+10</f>
        <v>39</v>
      </c>
      <c r="I35" s="63">
        <f>221+36</f>
        <v>257</v>
      </c>
    </row>
    <row r="36" spans="1:9" ht="17.25" customHeight="1">
      <c r="A36" s="4" t="s">
        <v>147</v>
      </c>
      <c r="B36" s="63">
        <v>9</v>
      </c>
      <c r="C36" s="63" t="s">
        <v>247</v>
      </c>
      <c r="D36" s="63" t="s">
        <v>247</v>
      </c>
      <c r="E36" s="63" t="s">
        <v>247</v>
      </c>
      <c r="F36" s="65" t="s">
        <v>247</v>
      </c>
      <c r="G36" s="63" t="s">
        <v>247</v>
      </c>
      <c r="H36" s="63">
        <v>10</v>
      </c>
      <c r="I36" s="63">
        <v>55</v>
      </c>
    </row>
    <row r="37" spans="1:9" ht="12" customHeight="1">
      <c r="A37" s="12"/>
      <c r="B37" s="13"/>
      <c r="C37" s="13"/>
      <c r="D37" s="13"/>
      <c r="E37" s="13"/>
      <c r="F37" s="13"/>
      <c r="G37" s="13"/>
      <c r="H37" s="13"/>
      <c r="I37" s="78" t="s">
        <v>90</v>
      </c>
    </row>
    <row r="38" spans="1:9" ht="60" customHeight="1">
      <c r="A38" s="262" t="s">
        <v>138</v>
      </c>
      <c r="B38" s="262"/>
      <c r="C38" s="262"/>
      <c r="D38" s="262"/>
      <c r="E38" s="262"/>
      <c r="F38" s="262"/>
      <c r="G38" s="262"/>
      <c r="H38" s="262"/>
      <c r="I38" s="262"/>
    </row>
    <row r="39" spans="1:9" s="1" customFormat="1" ht="13.15" customHeight="1">
      <c r="A39" s="1" t="s">
        <v>150</v>
      </c>
      <c r="E39" s="43" t="s">
        <v>186</v>
      </c>
      <c r="I39" s="78" t="s">
        <v>89</v>
      </c>
    </row>
    <row r="40" spans="1:9" ht="48">
      <c r="A40" s="39" t="s">
        <v>91</v>
      </c>
      <c r="B40" s="39" t="s">
        <v>97</v>
      </c>
      <c r="C40" s="39" t="s">
        <v>144</v>
      </c>
      <c r="D40" s="39" t="s">
        <v>98</v>
      </c>
      <c r="E40" s="39" t="s">
        <v>99</v>
      </c>
      <c r="F40" s="39" t="s">
        <v>100</v>
      </c>
      <c r="G40" s="39" t="s">
        <v>136</v>
      </c>
      <c r="H40" s="40" t="s">
        <v>148</v>
      </c>
      <c r="I40" s="39" t="s">
        <v>102</v>
      </c>
    </row>
    <row r="41" spans="1:9" ht="24.75" customHeight="1">
      <c r="A41" s="15" t="s">
        <v>137</v>
      </c>
      <c r="B41" s="62">
        <f>SUM(B42:B73)</f>
        <v>6273</v>
      </c>
      <c r="C41" s="62">
        <f>SUM(C42:C73)</f>
        <v>62</v>
      </c>
      <c r="D41" s="62">
        <f t="shared" ref="D41:I41" si="1">SUM(D42:D73)</f>
        <v>512</v>
      </c>
      <c r="E41" s="62">
        <f t="shared" si="1"/>
        <v>5938</v>
      </c>
      <c r="F41" s="62">
        <f>SUM(F42:F73)</f>
        <v>1308</v>
      </c>
      <c r="G41" s="62">
        <f t="shared" si="1"/>
        <v>2879</v>
      </c>
      <c r="H41" s="62">
        <f t="shared" si="1"/>
        <v>1468</v>
      </c>
      <c r="I41" s="62">
        <f t="shared" si="1"/>
        <v>16704</v>
      </c>
    </row>
    <row r="42" spans="1:9" ht="17.25" customHeight="1">
      <c r="A42" s="4" t="s">
        <v>34</v>
      </c>
      <c r="B42" s="59">
        <v>278</v>
      </c>
      <c r="C42" s="59">
        <v>4</v>
      </c>
      <c r="D42" s="59">
        <v>21</v>
      </c>
      <c r="E42" s="59">
        <v>198</v>
      </c>
      <c r="F42" s="59">
        <v>49</v>
      </c>
      <c r="G42" s="59">
        <v>117</v>
      </c>
      <c r="H42" s="59">
        <v>61</v>
      </c>
      <c r="I42" s="59">
        <v>892</v>
      </c>
    </row>
    <row r="43" spans="1:9" ht="17.25" customHeight="1">
      <c r="A43" s="49" t="s">
        <v>178</v>
      </c>
      <c r="B43" s="59">
        <v>192</v>
      </c>
      <c r="C43" s="59">
        <v>1</v>
      </c>
      <c r="D43" s="59">
        <v>5</v>
      </c>
      <c r="E43" s="59">
        <v>76</v>
      </c>
      <c r="F43" s="59" t="s">
        <v>247</v>
      </c>
      <c r="G43" s="59">
        <v>66</v>
      </c>
      <c r="H43" s="59">
        <v>38</v>
      </c>
      <c r="I43" s="59">
        <v>413</v>
      </c>
    </row>
    <row r="44" spans="1:9" ht="17.25" customHeight="1">
      <c r="A44" s="4" t="s">
        <v>53</v>
      </c>
      <c r="B44" s="59">
        <f>248+12</f>
        <v>260</v>
      </c>
      <c r="C44" s="59">
        <v>2</v>
      </c>
      <c r="D44" s="59">
        <v>10</v>
      </c>
      <c r="E44" s="59">
        <v>299</v>
      </c>
      <c r="F44" s="59">
        <v>52</v>
      </c>
      <c r="G44" s="59">
        <f>171+75</f>
        <v>246</v>
      </c>
      <c r="H44" s="59">
        <f>41+22</f>
        <v>63</v>
      </c>
      <c r="I44" s="59">
        <f>642+92</f>
        <v>734</v>
      </c>
    </row>
    <row r="45" spans="1:9" ht="17.25" customHeight="1">
      <c r="A45" s="4" t="s">
        <v>44</v>
      </c>
      <c r="B45" s="59">
        <v>52</v>
      </c>
      <c r="C45" s="59" t="s">
        <v>247</v>
      </c>
      <c r="D45" s="59">
        <v>9</v>
      </c>
      <c r="E45" s="59">
        <v>88</v>
      </c>
      <c r="F45" s="59">
        <v>7</v>
      </c>
      <c r="G45" s="59">
        <v>47</v>
      </c>
      <c r="H45" s="59">
        <v>34</v>
      </c>
      <c r="I45" s="59">
        <v>283</v>
      </c>
    </row>
    <row r="46" spans="1:9" ht="17.25" customHeight="1">
      <c r="A46" s="4" t="s">
        <v>80</v>
      </c>
      <c r="B46" s="59">
        <v>114</v>
      </c>
      <c r="C46" s="59">
        <v>1</v>
      </c>
      <c r="D46" s="59">
        <v>14</v>
      </c>
      <c r="E46" s="59">
        <v>91</v>
      </c>
      <c r="F46" s="59">
        <v>51</v>
      </c>
      <c r="G46" s="59">
        <v>33</v>
      </c>
      <c r="H46" s="59">
        <v>24</v>
      </c>
      <c r="I46" s="59">
        <v>323</v>
      </c>
    </row>
    <row r="47" spans="1:9" ht="17.25" customHeight="1">
      <c r="A47" s="4" t="s">
        <v>17</v>
      </c>
      <c r="B47" s="59">
        <v>247</v>
      </c>
      <c r="C47" s="59">
        <v>1</v>
      </c>
      <c r="D47" s="59">
        <v>19</v>
      </c>
      <c r="E47" s="59">
        <v>156</v>
      </c>
      <c r="F47" s="59">
        <v>87</v>
      </c>
      <c r="G47" s="59">
        <v>77</v>
      </c>
      <c r="H47" s="59">
        <v>51</v>
      </c>
      <c r="I47" s="59">
        <v>500</v>
      </c>
    </row>
    <row r="48" spans="1:9" ht="17.25" customHeight="1">
      <c r="A48" s="4" t="s">
        <v>93</v>
      </c>
      <c r="B48" s="59">
        <v>187</v>
      </c>
      <c r="C48" s="59">
        <v>1</v>
      </c>
      <c r="D48" s="59">
        <v>20</v>
      </c>
      <c r="E48" s="59">
        <v>139</v>
      </c>
      <c r="F48" s="59">
        <v>55</v>
      </c>
      <c r="G48" s="59">
        <v>88</v>
      </c>
      <c r="H48" s="59">
        <v>27</v>
      </c>
      <c r="I48" s="59">
        <v>396</v>
      </c>
    </row>
    <row r="49" spans="1:9" ht="17.25" customHeight="1">
      <c r="A49" s="4" t="s">
        <v>57</v>
      </c>
      <c r="B49" s="59">
        <f>251+7</f>
        <v>258</v>
      </c>
      <c r="C49" s="59">
        <v>5</v>
      </c>
      <c r="D49" s="59">
        <v>17</v>
      </c>
      <c r="E49" s="59">
        <v>270</v>
      </c>
      <c r="F49" s="59">
        <v>50</v>
      </c>
      <c r="G49" s="59">
        <f>114+14</f>
        <v>128</v>
      </c>
      <c r="H49" s="59">
        <f>60+6</f>
        <v>66</v>
      </c>
      <c r="I49" s="59">
        <f>755+38</f>
        <v>793</v>
      </c>
    </row>
    <row r="50" spans="1:9" ht="17.25" customHeight="1">
      <c r="A50" s="4" t="s">
        <v>153</v>
      </c>
      <c r="B50" s="59">
        <v>250</v>
      </c>
      <c r="C50" s="59">
        <v>2</v>
      </c>
      <c r="D50" s="59">
        <v>22</v>
      </c>
      <c r="E50" s="59">
        <v>230</v>
      </c>
      <c r="F50" s="59">
        <v>69</v>
      </c>
      <c r="G50" s="59">
        <v>55</v>
      </c>
      <c r="H50" s="59">
        <v>51</v>
      </c>
      <c r="I50" s="59">
        <v>540</v>
      </c>
    </row>
    <row r="51" spans="1:9" ht="17.25" customHeight="1">
      <c r="A51" s="4" t="s">
        <v>154</v>
      </c>
      <c r="B51" s="59">
        <v>131</v>
      </c>
      <c r="C51" s="59" t="s">
        <v>247</v>
      </c>
      <c r="D51" s="59">
        <v>16</v>
      </c>
      <c r="E51" s="59">
        <v>117</v>
      </c>
      <c r="F51" s="59">
        <v>32</v>
      </c>
      <c r="G51" s="59">
        <v>46</v>
      </c>
      <c r="H51" s="59">
        <v>51</v>
      </c>
      <c r="I51" s="59">
        <v>392</v>
      </c>
    </row>
    <row r="52" spans="1:9" ht="17.25" customHeight="1">
      <c r="A52" s="4" t="s">
        <v>28</v>
      </c>
      <c r="B52" s="59">
        <v>59</v>
      </c>
      <c r="C52" s="59" t="s">
        <v>247</v>
      </c>
      <c r="D52" s="59">
        <v>14</v>
      </c>
      <c r="E52" s="59">
        <v>60</v>
      </c>
      <c r="F52" s="59">
        <v>29</v>
      </c>
      <c r="G52" s="59">
        <v>26</v>
      </c>
      <c r="H52" s="59">
        <v>18</v>
      </c>
      <c r="I52" s="59">
        <v>165</v>
      </c>
    </row>
    <row r="53" spans="1:9" ht="17.25" customHeight="1">
      <c r="A53" s="4" t="s">
        <v>36</v>
      </c>
      <c r="B53" s="59">
        <v>355</v>
      </c>
      <c r="C53" s="59">
        <v>1</v>
      </c>
      <c r="D53" s="59">
        <v>26</v>
      </c>
      <c r="E53" s="59">
        <v>139</v>
      </c>
      <c r="F53" s="59">
        <v>37</v>
      </c>
      <c r="G53" s="59">
        <v>75</v>
      </c>
      <c r="H53" s="59">
        <v>56</v>
      </c>
      <c r="I53" s="59">
        <v>445</v>
      </c>
    </row>
    <row r="54" spans="1:9" ht="17.25" customHeight="1">
      <c r="A54" s="4" t="s">
        <v>30</v>
      </c>
      <c r="B54" s="59">
        <v>146</v>
      </c>
      <c r="C54" s="59">
        <v>1</v>
      </c>
      <c r="D54" s="59">
        <v>18</v>
      </c>
      <c r="E54" s="59">
        <v>163</v>
      </c>
      <c r="F54" s="59">
        <v>86</v>
      </c>
      <c r="G54" s="59">
        <v>51</v>
      </c>
      <c r="H54" s="59">
        <v>33</v>
      </c>
      <c r="I54" s="59">
        <v>382</v>
      </c>
    </row>
    <row r="55" spans="1:9" ht="17.25" customHeight="1">
      <c r="A55" s="49" t="s">
        <v>179</v>
      </c>
      <c r="B55" s="59">
        <v>96</v>
      </c>
      <c r="C55" s="59">
        <v>1</v>
      </c>
      <c r="D55" s="59">
        <v>4</v>
      </c>
      <c r="E55" s="59">
        <v>64</v>
      </c>
      <c r="F55" s="59" t="s">
        <v>247</v>
      </c>
      <c r="G55" s="59">
        <v>59</v>
      </c>
      <c r="H55" s="59">
        <v>24</v>
      </c>
      <c r="I55" s="59">
        <v>270</v>
      </c>
    </row>
    <row r="56" spans="1:9" ht="17.25" customHeight="1">
      <c r="A56" s="4" t="s">
        <v>26</v>
      </c>
      <c r="B56" s="59">
        <f>182+15</f>
        <v>197</v>
      </c>
      <c r="C56" s="59">
        <v>2</v>
      </c>
      <c r="D56" s="59">
        <v>20</v>
      </c>
      <c r="E56" s="59">
        <v>169</v>
      </c>
      <c r="F56" s="59">
        <v>43</v>
      </c>
      <c r="G56" s="59">
        <f>70+19</f>
        <v>89</v>
      </c>
      <c r="H56" s="59">
        <f>28+11</f>
        <v>39</v>
      </c>
      <c r="I56" s="59">
        <f>363+41</f>
        <v>404</v>
      </c>
    </row>
    <row r="57" spans="1:9" ht="17.25" customHeight="1">
      <c r="A57" s="4" t="s">
        <v>92</v>
      </c>
      <c r="B57" s="59">
        <v>27</v>
      </c>
      <c r="C57" s="59" t="s">
        <v>247</v>
      </c>
      <c r="D57" s="59">
        <f>6+1</f>
        <v>7</v>
      </c>
      <c r="E57" s="59">
        <v>9</v>
      </c>
      <c r="F57" s="59" t="s">
        <v>247</v>
      </c>
      <c r="G57" s="59">
        <v>43</v>
      </c>
      <c r="H57" s="59">
        <v>38</v>
      </c>
      <c r="I57" s="59">
        <v>200</v>
      </c>
    </row>
    <row r="58" spans="1:9" ht="17.25" customHeight="1">
      <c r="A58" s="49" t="s">
        <v>180</v>
      </c>
      <c r="B58" s="59">
        <v>114</v>
      </c>
      <c r="C58" s="59">
        <v>1</v>
      </c>
      <c r="D58" s="59">
        <v>6</v>
      </c>
      <c r="E58" s="59">
        <v>45</v>
      </c>
      <c r="F58" s="59" t="s">
        <v>247</v>
      </c>
      <c r="G58" s="59">
        <v>122</v>
      </c>
      <c r="H58" s="59">
        <v>28</v>
      </c>
      <c r="I58" s="59">
        <v>458</v>
      </c>
    </row>
    <row r="59" spans="1:9" ht="17.25" customHeight="1">
      <c r="A59" s="4" t="s">
        <v>55</v>
      </c>
      <c r="B59" s="59">
        <f>138+3</f>
        <v>141</v>
      </c>
      <c r="C59" s="59">
        <v>2</v>
      </c>
      <c r="D59" s="59">
        <v>17</v>
      </c>
      <c r="E59" s="59">
        <v>160</v>
      </c>
      <c r="F59" s="59">
        <v>24</v>
      </c>
      <c r="G59" s="59">
        <f>81+15</f>
        <v>96</v>
      </c>
      <c r="H59" s="59">
        <f>49+7</f>
        <v>56</v>
      </c>
      <c r="I59" s="59">
        <f>447+24</f>
        <v>471</v>
      </c>
    </row>
    <row r="60" spans="1:9" ht="17.25" customHeight="1">
      <c r="A60" s="4" t="s">
        <v>95</v>
      </c>
      <c r="B60" s="59">
        <v>241</v>
      </c>
      <c r="C60" s="59">
        <v>2</v>
      </c>
      <c r="D60" s="59">
        <v>25</v>
      </c>
      <c r="E60" s="59">
        <v>126</v>
      </c>
      <c r="F60" s="59">
        <v>71</v>
      </c>
      <c r="G60" s="59">
        <v>52</v>
      </c>
      <c r="H60" s="59">
        <v>30</v>
      </c>
      <c r="I60" s="59">
        <v>458</v>
      </c>
    </row>
    <row r="61" spans="1:9" ht="17.25" customHeight="1">
      <c r="A61" s="4" t="s">
        <v>39</v>
      </c>
      <c r="B61" s="59">
        <v>210</v>
      </c>
      <c r="C61" s="59">
        <v>2</v>
      </c>
      <c r="D61" s="59">
        <v>33</v>
      </c>
      <c r="E61" s="59">
        <v>146</v>
      </c>
      <c r="F61" s="59">
        <v>69</v>
      </c>
      <c r="G61" s="59">
        <v>123</v>
      </c>
      <c r="H61" s="59">
        <v>66</v>
      </c>
      <c r="I61" s="59">
        <v>644</v>
      </c>
    </row>
    <row r="62" spans="1:9" ht="17.25" customHeight="1">
      <c r="A62" s="4" t="s">
        <v>20</v>
      </c>
      <c r="B62" s="59">
        <v>336</v>
      </c>
      <c r="C62" s="59">
        <v>4</v>
      </c>
      <c r="D62" s="59">
        <v>27</v>
      </c>
      <c r="E62" s="59">
        <v>346</v>
      </c>
      <c r="F62" s="59">
        <v>141</v>
      </c>
      <c r="G62" s="59">
        <v>85</v>
      </c>
      <c r="H62" s="59">
        <v>73</v>
      </c>
      <c r="I62" s="59">
        <v>826</v>
      </c>
    </row>
    <row r="63" spans="1:9" ht="17.25" customHeight="1">
      <c r="A63" s="49" t="s">
        <v>181</v>
      </c>
      <c r="B63" s="59">
        <v>75</v>
      </c>
      <c r="C63" s="59">
        <v>1</v>
      </c>
      <c r="D63" s="59">
        <v>1</v>
      </c>
      <c r="E63" s="59">
        <v>32</v>
      </c>
      <c r="F63" s="59" t="s">
        <v>247</v>
      </c>
      <c r="G63" s="59">
        <v>27</v>
      </c>
      <c r="H63" s="59">
        <v>32</v>
      </c>
      <c r="I63" s="59">
        <v>250</v>
      </c>
    </row>
    <row r="64" spans="1:9" ht="17.25" customHeight="1">
      <c r="A64" s="49" t="s">
        <v>183</v>
      </c>
      <c r="B64" s="59">
        <v>122</v>
      </c>
      <c r="C64" s="59">
        <v>1</v>
      </c>
      <c r="D64" s="59">
        <v>12</v>
      </c>
      <c r="E64" s="59">
        <v>6</v>
      </c>
      <c r="F64" s="59" t="s">
        <v>247</v>
      </c>
      <c r="G64" s="59">
        <v>291</v>
      </c>
      <c r="H64" s="59">
        <v>140</v>
      </c>
      <c r="I64" s="59">
        <v>817</v>
      </c>
    </row>
    <row r="65" spans="1:9" ht="17.25" customHeight="1">
      <c r="A65" s="4" t="s">
        <v>15</v>
      </c>
      <c r="B65" s="59">
        <v>247</v>
      </c>
      <c r="C65" s="59">
        <v>2</v>
      </c>
      <c r="D65" s="59">
        <v>22</v>
      </c>
      <c r="E65" s="59">
        <v>227</v>
      </c>
      <c r="F65" s="59">
        <v>70</v>
      </c>
      <c r="G65" s="59">
        <v>48</v>
      </c>
      <c r="H65" s="59">
        <v>44</v>
      </c>
      <c r="I65" s="59">
        <v>444</v>
      </c>
    </row>
    <row r="66" spans="1:9" ht="17.25" customHeight="1">
      <c r="A66" s="49" t="s">
        <v>182</v>
      </c>
      <c r="B66" s="59">
        <v>109</v>
      </c>
      <c r="C66" s="59" t="s">
        <v>247</v>
      </c>
      <c r="D66" s="59">
        <v>4</v>
      </c>
      <c r="E66" s="59">
        <v>51</v>
      </c>
      <c r="F66" s="59" t="s">
        <v>247</v>
      </c>
      <c r="G66" s="59">
        <v>50</v>
      </c>
      <c r="H66" s="59">
        <v>29</v>
      </c>
      <c r="I66" s="59">
        <v>206</v>
      </c>
    </row>
    <row r="67" spans="1:9" s="1" customFormat="1" ht="17.25" customHeight="1">
      <c r="A67" s="4" t="s">
        <v>13</v>
      </c>
      <c r="B67" s="59">
        <f>827+13</f>
        <v>840</v>
      </c>
      <c r="C67" s="59">
        <v>16</v>
      </c>
      <c r="D67" s="59">
        <f>40+1</f>
        <v>41</v>
      </c>
      <c r="E67" s="59">
        <v>1661</v>
      </c>
      <c r="F67" s="59">
        <v>52</v>
      </c>
      <c r="G67" s="59">
        <f>352+12</f>
        <v>364</v>
      </c>
      <c r="H67" s="59">
        <f>81+16</f>
        <v>97</v>
      </c>
      <c r="I67" s="59">
        <f>2628+33</f>
        <v>2661</v>
      </c>
    </row>
    <row r="68" spans="1:9" ht="17.25" customHeight="1">
      <c r="A68" s="49" t="s">
        <v>184</v>
      </c>
      <c r="B68" s="59">
        <v>126</v>
      </c>
      <c r="C68" s="59">
        <v>1</v>
      </c>
      <c r="D68" s="59">
        <v>3</v>
      </c>
      <c r="E68" s="59">
        <v>42</v>
      </c>
      <c r="F68" s="59" t="s">
        <v>247</v>
      </c>
      <c r="G68" s="59">
        <v>100</v>
      </c>
      <c r="H68" s="59">
        <v>32</v>
      </c>
      <c r="I68" s="59">
        <v>422</v>
      </c>
    </row>
    <row r="69" spans="1:9" s="1" customFormat="1" ht="17.25" customHeight="1">
      <c r="A69" s="4" t="s">
        <v>94</v>
      </c>
      <c r="B69" s="59">
        <v>98</v>
      </c>
      <c r="C69" s="59">
        <v>2</v>
      </c>
      <c r="D69" s="59">
        <v>18</v>
      </c>
      <c r="E69" s="59">
        <v>109</v>
      </c>
      <c r="F69" s="59">
        <v>34</v>
      </c>
      <c r="G69" s="59">
        <v>26</v>
      </c>
      <c r="H69" s="59">
        <v>17</v>
      </c>
      <c r="I69" s="59">
        <v>292</v>
      </c>
    </row>
    <row r="70" spans="1:9" ht="17.25" customHeight="1">
      <c r="A70" s="4" t="s">
        <v>23</v>
      </c>
      <c r="B70" s="59">
        <v>320</v>
      </c>
      <c r="C70" s="59">
        <v>2</v>
      </c>
      <c r="D70" s="59">
        <v>24</v>
      </c>
      <c r="E70" s="59">
        <v>190</v>
      </c>
      <c r="F70" s="59">
        <v>55</v>
      </c>
      <c r="G70" s="59">
        <v>77</v>
      </c>
      <c r="H70" s="59">
        <v>50</v>
      </c>
      <c r="I70" s="59">
        <v>564</v>
      </c>
    </row>
    <row r="71" spans="1:9" ht="17.25" customHeight="1">
      <c r="A71" s="4" t="s">
        <v>71</v>
      </c>
      <c r="B71" s="59">
        <v>357</v>
      </c>
      <c r="C71" s="59">
        <v>4</v>
      </c>
      <c r="D71" s="59">
        <v>26</v>
      </c>
      <c r="E71" s="59">
        <v>483</v>
      </c>
      <c r="F71" s="59">
        <v>97</v>
      </c>
      <c r="G71" s="59">
        <v>85</v>
      </c>
      <c r="H71" s="59">
        <v>61</v>
      </c>
      <c r="I71" s="59">
        <v>769</v>
      </c>
    </row>
    <row r="72" spans="1:9" ht="17.25" customHeight="1">
      <c r="A72" s="4" t="s">
        <v>51</v>
      </c>
      <c r="B72" s="59">
        <f>67+12</f>
        <v>79</v>
      </c>
      <c r="C72" s="59" t="s">
        <v>247</v>
      </c>
      <c r="D72" s="59">
        <f>10+1</f>
        <v>11</v>
      </c>
      <c r="E72" s="59">
        <v>46</v>
      </c>
      <c r="F72" s="59">
        <v>48</v>
      </c>
      <c r="G72" s="59">
        <f>33+54</f>
        <v>87</v>
      </c>
      <c r="H72" s="59">
        <f>29+10</f>
        <v>39</v>
      </c>
      <c r="I72" s="59">
        <f>201+89</f>
        <v>290</v>
      </c>
    </row>
    <row r="73" spans="1:9" ht="17.25" customHeight="1">
      <c r="A73" s="4" t="s">
        <v>147</v>
      </c>
      <c r="B73" s="63">
        <v>9</v>
      </c>
      <c r="C73" s="63" t="s">
        <v>247</v>
      </c>
      <c r="D73" s="63" t="s">
        <v>247</v>
      </c>
      <c r="E73" s="63" t="s">
        <v>247</v>
      </c>
      <c r="F73" s="63" t="s">
        <v>247</v>
      </c>
      <c r="G73" s="63" t="s">
        <v>247</v>
      </c>
      <c r="H73" s="63" t="s">
        <v>247</v>
      </c>
      <c r="I73" s="63" t="s">
        <v>247</v>
      </c>
    </row>
    <row r="74" spans="1:9" ht="13.15" customHeight="1">
      <c r="A74" s="12"/>
      <c r="B74" s="13"/>
      <c r="C74" s="13"/>
      <c r="D74" s="13"/>
      <c r="E74" s="13"/>
      <c r="F74" s="13"/>
      <c r="G74" s="13"/>
      <c r="H74" s="13"/>
      <c r="I74" s="78" t="s">
        <v>90</v>
      </c>
    </row>
    <row r="75" spans="1:9" ht="60" customHeight="1">
      <c r="A75" s="262" t="s">
        <v>138</v>
      </c>
      <c r="B75" s="262"/>
      <c r="C75" s="262"/>
      <c r="D75" s="262"/>
      <c r="E75" s="262"/>
      <c r="F75" s="262"/>
      <c r="G75" s="262"/>
      <c r="H75" s="262"/>
      <c r="I75" s="262"/>
    </row>
    <row r="76" spans="1:9" s="1" customFormat="1" ht="13.15" customHeight="1">
      <c r="A76" s="1" t="s">
        <v>150</v>
      </c>
      <c r="E76" s="11" t="s">
        <v>199</v>
      </c>
      <c r="H76" s="275" t="s">
        <v>89</v>
      </c>
      <c r="I76" s="275"/>
    </row>
    <row r="77" spans="1:9" ht="48">
      <c r="A77" s="39" t="s">
        <v>91</v>
      </c>
      <c r="B77" s="39" t="s">
        <v>97</v>
      </c>
      <c r="C77" s="39" t="s">
        <v>143</v>
      </c>
      <c r="D77" s="39" t="s">
        <v>98</v>
      </c>
      <c r="E77" s="39" t="s">
        <v>99</v>
      </c>
      <c r="F77" s="39" t="s">
        <v>100</v>
      </c>
      <c r="G77" s="39" t="s">
        <v>101</v>
      </c>
      <c r="H77" s="40" t="s">
        <v>194</v>
      </c>
      <c r="I77" s="39" t="s">
        <v>133</v>
      </c>
    </row>
    <row r="78" spans="1:9" ht="25.5" customHeight="1">
      <c r="A78" s="148" t="s">
        <v>269</v>
      </c>
      <c r="B78" s="61">
        <f>SUM(B79:B110)</f>
        <v>6089</v>
      </c>
      <c r="C78" s="61">
        <f t="shared" ref="C78:I78" si="2">SUM(C79:C110)</f>
        <v>57</v>
      </c>
      <c r="D78" s="61">
        <f>SUM(D79:D110)</f>
        <v>646</v>
      </c>
      <c r="E78" s="61">
        <f t="shared" si="2"/>
        <v>7061</v>
      </c>
      <c r="F78" s="61" t="s">
        <v>247</v>
      </c>
      <c r="G78" s="61">
        <f t="shared" si="2"/>
        <v>2278</v>
      </c>
      <c r="H78" s="61">
        <f t="shared" si="2"/>
        <v>1924</v>
      </c>
      <c r="I78" s="61">
        <f t="shared" si="2"/>
        <v>11033</v>
      </c>
    </row>
    <row r="79" spans="1:9" ht="17.25" customHeight="1">
      <c r="A79" s="4" t="s">
        <v>34</v>
      </c>
      <c r="B79" s="63">
        <v>194</v>
      </c>
      <c r="C79" s="63">
        <v>3</v>
      </c>
      <c r="D79" s="63">
        <v>26</v>
      </c>
      <c r="E79" s="63">
        <v>222</v>
      </c>
      <c r="F79" s="63" t="s">
        <v>247</v>
      </c>
      <c r="G79" s="63">
        <v>97</v>
      </c>
      <c r="H79" s="59">
        <v>75</v>
      </c>
      <c r="I79" s="63">
        <v>385</v>
      </c>
    </row>
    <row r="80" spans="1:9" ht="17.25" customHeight="1">
      <c r="A80" s="49" t="s">
        <v>178</v>
      </c>
      <c r="B80" s="63">
        <v>210</v>
      </c>
      <c r="C80" s="63">
        <v>1</v>
      </c>
      <c r="D80" s="63">
        <v>5</v>
      </c>
      <c r="E80" s="59">
        <v>87</v>
      </c>
      <c r="F80" s="59" t="s">
        <v>247</v>
      </c>
      <c r="G80" s="59">
        <v>69</v>
      </c>
      <c r="H80" s="59">
        <v>38</v>
      </c>
      <c r="I80" s="59">
        <v>413</v>
      </c>
    </row>
    <row r="81" spans="1:9" ht="17.25" customHeight="1">
      <c r="A81" s="4" t="s">
        <v>53</v>
      </c>
      <c r="B81" s="63">
        <v>117</v>
      </c>
      <c r="C81" s="63">
        <v>2</v>
      </c>
      <c r="D81" s="63">
        <v>13</v>
      </c>
      <c r="E81" s="63">
        <v>335</v>
      </c>
      <c r="F81" s="63" t="s">
        <v>247</v>
      </c>
      <c r="G81" s="63">
        <v>170</v>
      </c>
      <c r="H81" s="59">
        <v>102</v>
      </c>
      <c r="I81" s="63">
        <v>523</v>
      </c>
    </row>
    <row r="82" spans="1:9" ht="17.25" customHeight="1">
      <c r="A82" s="4" t="s">
        <v>44</v>
      </c>
      <c r="B82" s="63">
        <v>70</v>
      </c>
      <c r="C82" s="63" t="s">
        <v>247</v>
      </c>
      <c r="D82" s="63">
        <v>12</v>
      </c>
      <c r="E82" s="63">
        <v>91</v>
      </c>
      <c r="F82" s="63" t="s">
        <v>247</v>
      </c>
      <c r="G82" s="63">
        <v>43</v>
      </c>
      <c r="H82" s="59">
        <v>40</v>
      </c>
      <c r="I82" s="63">
        <v>183</v>
      </c>
    </row>
    <row r="83" spans="1:9" ht="17.25" customHeight="1">
      <c r="A83" s="4" t="s">
        <v>80</v>
      </c>
      <c r="B83" s="63">
        <v>149</v>
      </c>
      <c r="C83" s="63">
        <v>1</v>
      </c>
      <c r="D83" s="63">
        <v>16</v>
      </c>
      <c r="E83" s="63">
        <v>94</v>
      </c>
      <c r="F83" s="63" t="s">
        <v>247</v>
      </c>
      <c r="G83" s="63">
        <v>21</v>
      </c>
      <c r="H83" s="59">
        <v>30</v>
      </c>
      <c r="I83" s="63">
        <v>208</v>
      </c>
    </row>
    <row r="84" spans="1:9" ht="17.25" customHeight="1">
      <c r="A84" s="4" t="s">
        <v>17</v>
      </c>
      <c r="B84" s="63">
        <v>293</v>
      </c>
      <c r="C84" s="63">
        <v>1</v>
      </c>
      <c r="D84" s="63">
        <v>27</v>
      </c>
      <c r="E84" s="63">
        <v>213</v>
      </c>
      <c r="F84" s="63" t="s">
        <v>247</v>
      </c>
      <c r="G84" s="63">
        <v>55</v>
      </c>
      <c r="H84" s="59">
        <v>62</v>
      </c>
      <c r="I84" s="63">
        <v>393</v>
      </c>
    </row>
    <row r="85" spans="1:9" ht="17.25" customHeight="1">
      <c r="A85" s="4" t="s">
        <v>93</v>
      </c>
      <c r="B85" s="63">
        <v>112</v>
      </c>
      <c r="C85" s="63">
        <v>1</v>
      </c>
      <c r="D85" s="63">
        <v>22</v>
      </c>
      <c r="E85" s="63">
        <v>143</v>
      </c>
      <c r="F85" s="63" t="s">
        <v>247</v>
      </c>
      <c r="G85" s="63">
        <v>67</v>
      </c>
      <c r="H85" s="59">
        <v>38</v>
      </c>
      <c r="I85" s="63">
        <v>291</v>
      </c>
    </row>
    <row r="86" spans="1:9" ht="17.25" customHeight="1">
      <c r="A86" s="4" t="s">
        <v>57</v>
      </c>
      <c r="B86" s="63">
        <v>99</v>
      </c>
      <c r="C86" s="63">
        <v>4</v>
      </c>
      <c r="D86" s="63">
        <v>16</v>
      </c>
      <c r="E86" s="63">
        <v>284</v>
      </c>
      <c r="F86" s="63" t="s">
        <v>247</v>
      </c>
      <c r="G86" s="63">
        <v>116</v>
      </c>
      <c r="H86" s="59">
        <v>101</v>
      </c>
      <c r="I86" s="63">
        <v>519</v>
      </c>
    </row>
    <row r="87" spans="1:9" ht="17.25" customHeight="1">
      <c r="A87" s="4" t="s">
        <v>153</v>
      </c>
      <c r="B87" s="63">
        <v>359</v>
      </c>
      <c r="C87" s="63">
        <v>2</v>
      </c>
      <c r="D87" s="63">
        <v>30</v>
      </c>
      <c r="E87" s="63">
        <v>238</v>
      </c>
      <c r="F87" s="63" t="s">
        <v>247</v>
      </c>
      <c r="G87" s="63">
        <v>60</v>
      </c>
      <c r="H87" s="59">
        <v>65</v>
      </c>
      <c r="I87" s="63">
        <v>364</v>
      </c>
    </row>
    <row r="88" spans="1:9" ht="17.25" customHeight="1">
      <c r="A88" s="4" t="s">
        <v>154</v>
      </c>
      <c r="B88" s="63">
        <v>132</v>
      </c>
      <c r="C88" s="63" t="s">
        <v>247</v>
      </c>
      <c r="D88" s="63">
        <v>21</v>
      </c>
      <c r="E88" s="63">
        <v>120</v>
      </c>
      <c r="F88" s="63" t="s">
        <v>247</v>
      </c>
      <c r="G88" s="63">
        <v>44</v>
      </c>
      <c r="H88" s="59">
        <v>66</v>
      </c>
      <c r="I88" s="63">
        <v>282</v>
      </c>
    </row>
    <row r="89" spans="1:9" ht="17.25" customHeight="1">
      <c r="A89" s="4" t="s">
        <v>28</v>
      </c>
      <c r="B89" s="63">
        <v>77</v>
      </c>
      <c r="C89" s="63" t="s">
        <v>247</v>
      </c>
      <c r="D89" s="63">
        <v>15</v>
      </c>
      <c r="E89" s="63">
        <v>72</v>
      </c>
      <c r="F89" s="63" t="s">
        <v>247</v>
      </c>
      <c r="G89" s="63">
        <v>17</v>
      </c>
      <c r="H89" s="59">
        <v>32</v>
      </c>
      <c r="I89" s="63">
        <v>123</v>
      </c>
    </row>
    <row r="90" spans="1:9" ht="17.25" customHeight="1">
      <c r="A90" s="4" t="s">
        <v>36</v>
      </c>
      <c r="B90" s="63">
        <v>214</v>
      </c>
      <c r="C90" s="63">
        <v>2</v>
      </c>
      <c r="D90" s="63">
        <v>33</v>
      </c>
      <c r="E90" s="63">
        <v>144</v>
      </c>
      <c r="F90" s="63" t="s">
        <v>247</v>
      </c>
      <c r="G90" s="63">
        <v>67</v>
      </c>
      <c r="H90" s="59">
        <v>74</v>
      </c>
      <c r="I90" s="63">
        <v>327</v>
      </c>
    </row>
    <row r="91" spans="1:9" ht="17.25" customHeight="1">
      <c r="A91" s="4" t="s">
        <v>30</v>
      </c>
      <c r="B91" s="63">
        <v>200</v>
      </c>
      <c r="C91" s="63">
        <v>1</v>
      </c>
      <c r="D91" s="63">
        <v>24</v>
      </c>
      <c r="E91" s="63">
        <v>179</v>
      </c>
      <c r="F91" s="63" t="s">
        <v>247</v>
      </c>
      <c r="G91" s="63">
        <v>45</v>
      </c>
      <c r="H91" s="59">
        <v>51</v>
      </c>
      <c r="I91" s="63">
        <v>352</v>
      </c>
    </row>
    <row r="92" spans="1:9" ht="17.25" customHeight="1">
      <c r="A92" s="49" t="s">
        <v>179</v>
      </c>
      <c r="B92" s="63">
        <v>176</v>
      </c>
      <c r="C92" s="63">
        <v>1</v>
      </c>
      <c r="D92" s="63">
        <v>4</v>
      </c>
      <c r="E92" s="59">
        <v>149</v>
      </c>
      <c r="F92" s="59" t="s">
        <v>247</v>
      </c>
      <c r="G92" s="59">
        <v>60</v>
      </c>
      <c r="H92" s="59">
        <v>24</v>
      </c>
      <c r="I92" s="59">
        <v>270</v>
      </c>
    </row>
    <row r="93" spans="1:9" ht="17.25" customHeight="1">
      <c r="A93" s="4" t="s">
        <v>26</v>
      </c>
      <c r="B93" s="63">
        <v>230</v>
      </c>
      <c r="C93" s="63">
        <v>2</v>
      </c>
      <c r="D93" s="63">
        <v>26</v>
      </c>
      <c r="E93" s="63">
        <v>191</v>
      </c>
      <c r="F93" s="63" t="s">
        <v>247</v>
      </c>
      <c r="G93" s="63">
        <v>55</v>
      </c>
      <c r="H93" s="59">
        <v>62</v>
      </c>
      <c r="I93" s="63">
        <v>328</v>
      </c>
    </row>
    <row r="94" spans="1:9" ht="17.25" customHeight="1">
      <c r="A94" s="4" t="s">
        <v>92</v>
      </c>
      <c r="B94" s="63">
        <v>62</v>
      </c>
      <c r="C94" s="63" t="s">
        <v>247</v>
      </c>
      <c r="D94" s="63">
        <v>12</v>
      </c>
      <c r="E94" s="63">
        <v>9</v>
      </c>
      <c r="F94" s="63" t="s">
        <v>247</v>
      </c>
      <c r="G94" s="63">
        <v>3</v>
      </c>
      <c r="H94" s="59">
        <v>52</v>
      </c>
      <c r="I94" s="63">
        <v>191</v>
      </c>
    </row>
    <row r="95" spans="1:9" ht="17.25" customHeight="1">
      <c r="A95" s="49" t="s">
        <v>180</v>
      </c>
      <c r="B95" s="63">
        <v>150</v>
      </c>
      <c r="C95" s="63">
        <v>1</v>
      </c>
      <c r="D95" s="63">
        <v>6</v>
      </c>
      <c r="E95" s="59">
        <v>60</v>
      </c>
      <c r="F95" s="59" t="s">
        <v>247</v>
      </c>
      <c r="G95" s="59">
        <v>92</v>
      </c>
      <c r="H95" s="59">
        <v>28</v>
      </c>
      <c r="I95" s="59">
        <v>458</v>
      </c>
    </row>
    <row r="96" spans="1:9" ht="17.25" customHeight="1">
      <c r="A96" s="4" t="s">
        <v>55</v>
      </c>
      <c r="B96" s="63">
        <v>122</v>
      </c>
      <c r="C96" s="63">
        <v>1</v>
      </c>
      <c r="D96" s="63">
        <v>18</v>
      </c>
      <c r="E96" s="63">
        <v>164</v>
      </c>
      <c r="F96" s="63" t="s">
        <v>247</v>
      </c>
      <c r="G96" s="63">
        <v>83</v>
      </c>
      <c r="H96" s="59">
        <v>74</v>
      </c>
      <c r="I96" s="63">
        <v>349</v>
      </c>
    </row>
    <row r="97" spans="1:9" ht="17.25" customHeight="1">
      <c r="A97" s="4" t="s">
        <v>95</v>
      </c>
      <c r="B97" s="63">
        <v>203</v>
      </c>
      <c r="C97" s="63">
        <v>2</v>
      </c>
      <c r="D97" s="63">
        <v>30</v>
      </c>
      <c r="E97" s="63">
        <v>131</v>
      </c>
      <c r="F97" s="63" t="s">
        <v>247</v>
      </c>
      <c r="G97" s="63">
        <v>45</v>
      </c>
      <c r="H97" s="59">
        <v>44</v>
      </c>
      <c r="I97" s="63">
        <v>296</v>
      </c>
    </row>
    <row r="98" spans="1:9" ht="17.25" customHeight="1">
      <c r="A98" s="4" t="s">
        <v>39</v>
      </c>
      <c r="B98" s="63">
        <v>296</v>
      </c>
      <c r="C98" s="63">
        <v>2</v>
      </c>
      <c r="D98" s="63">
        <v>41</v>
      </c>
      <c r="E98" s="63">
        <v>150</v>
      </c>
      <c r="F98" s="63" t="s">
        <v>247</v>
      </c>
      <c r="G98" s="63">
        <v>116</v>
      </c>
      <c r="H98" s="59">
        <v>84</v>
      </c>
      <c r="I98" s="63">
        <v>459</v>
      </c>
    </row>
    <row r="99" spans="1:9" ht="17.25" customHeight="1">
      <c r="A99" s="4" t="s">
        <v>20</v>
      </c>
      <c r="B99" s="63">
        <v>296</v>
      </c>
      <c r="C99" s="63">
        <v>4</v>
      </c>
      <c r="D99" s="63">
        <v>33</v>
      </c>
      <c r="E99" s="63">
        <v>376</v>
      </c>
      <c r="F99" s="63" t="s">
        <v>247</v>
      </c>
      <c r="G99" s="63">
        <v>92</v>
      </c>
      <c r="H99" s="59">
        <v>91</v>
      </c>
      <c r="I99" s="63">
        <v>458</v>
      </c>
    </row>
    <row r="100" spans="1:9" ht="17.25" customHeight="1">
      <c r="A100" s="49" t="s">
        <v>181</v>
      </c>
      <c r="B100" s="63">
        <v>91</v>
      </c>
      <c r="C100" s="63">
        <v>1</v>
      </c>
      <c r="D100" s="63">
        <v>1</v>
      </c>
      <c r="E100" s="59">
        <v>41</v>
      </c>
      <c r="F100" s="59" t="s">
        <v>247</v>
      </c>
      <c r="G100" s="59">
        <v>40</v>
      </c>
      <c r="H100" s="59">
        <v>32</v>
      </c>
      <c r="I100" s="59">
        <v>250</v>
      </c>
    </row>
    <row r="101" spans="1:9" ht="17.25" customHeight="1">
      <c r="A101" s="49" t="s">
        <v>183</v>
      </c>
      <c r="B101" s="63">
        <v>169</v>
      </c>
      <c r="C101" s="63">
        <v>1</v>
      </c>
      <c r="D101" s="63">
        <v>12</v>
      </c>
      <c r="E101" s="59">
        <v>120</v>
      </c>
      <c r="F101" s="59" t="s">
        <v>247</v>
      </c>
      <c r="G101" s="59">
        <v>293</v>
      </c>
      <c r="H101" s="59">
        <v>140</v>
      </c>
      <c r="I101" s="59">
        <v>817</v>
      </c>
    </row>
    <row r="102" spans="1:9" ht="17.25" customHeight="1">
      <c r="A102" s="4" t="s">
        <v>15</v>
      </c>
      <c r="B102" s="63">
        <v>311</v>
      </c>
      <c r="C102" s="63">
        <v>2</v>
      </c>
      <c r="D102" s="63">
        <v>38</v>
      </c>
      <c r="E102" s="63">
        <v>254</v>
      </c>
      <c r="F102" s="63" t="s">
        <v>247</v>
      </c>
      <c r="G102" s="63">
        <v>60</v>
      </c>
      <c r="H102" s="59">
        <v>56</v>
      </c>
      <c r="I102" s="63">
        <v>314</v>
      </c>
    </row>
    <row r="103" spans="1:9" ht="17.25" customHeight="1">
      <c r="A103" s="49" t="s">
        <v>182</v>
      </c>
      <c r="B103" s="63">
        <v>134</v>
      </c>
      <c r="C103" s="63" t="s">
        <v>247</v>
      </c>
      <c r="D103" s="63">
        <v>4</v>
      </c>
      <c r="E103" s="59">
        <v>66</v>
      </c>
      <c r="F103" s="59" t="s">
        <v>247</v>
      </c>
      <c r="G103" s="59">
        <v>53</v>
      </c>
      <c r="H103" s="59">
        <v>29</v>
      </c>
      <c r="I103" s="59">
        <v>206</v>
      </c>
    </row>
    <row r="104" spans="1:9" s="1" customFormat="1" ht="17.25" customHeight="1">
      <c r="A104" s="4" t="s">
        <v>13</v>
      </c>
      <c r="B104" s="63">
        <v>461</v>
      </c>
      <c r="C104" s="63">
        <v>13</v>
      </c>
      <c r="D104" s="63">
        <v>58</v>
      </c>
      <c r="E104" s="63">
        <v>1891</v>
      </c>
      <c r="F104" s="63" t="s">
        <v>247</v>
      </c>
      <c r="G104" s="63">
        <v>94</v>
      </c>
      <c r="H104" s="59">
        <v>129</v>
      </c>
      <c r="I104" s="63">
        <v>621</v>
      </c>
    </row>
    <row r="105" spans="1:9" ht="17.25" customHeight="1">
      <c r="A105" s="4" t="s">
        <v>94</v>
      </c>
      <c r="B105" s="63">
        <v>137</v>
      </c>
      <c r="C105" s="63">
        <v>2</v>
      </c>
      <c r="D105" s="63">
        <v>23</v>
      </c>
      <c r="E105" s="63">
        <v>131</v>
      </c>
      <c r="F105" s="63" t="s">
        <v>247</v>
      </c>
      <c r="G105" s="63">
        <v>19</v>
      </c>
      <c r="H105" s="59">
        <v>41</v>
      </c>
      <c r="I105" s="63">
        <v>225</v>
      </c>
    </row>
    <row r="106" spans="1:9" s="1" customFormat="1" ht="17.25" customHeight="1">
      <c r="A106" s="49" t="s">
        <v>184</v>
      </c>
      <c r="B106" s="63">
        <v>213</v>
      </c>
      <c r="C106" s="63">
        <v>1</v>
      </c>
      <c r="D106" s="63">
        <v>3</v>
      </c>
      <c r="E106" s="59">
        <v>151</v>
      </c>
      <c r="F106" s="59" t="s">
        <v>247</v>
      </c>
      <c r="G106" s="59">
        <v>104</v>
      </c>
      <c r="H106" s="59">
        <v>32</v>
      </c>
      <c r="I106" s="59">
        <v>422</v>
      </c>
    </row>
    <row r="107" spans="1:9" ht="17.25" customHeight="1">
      <c r="A107" s="4" t="s">
        <v>23</v>
      </c>
      <c r="B107" s="63">
        <v>255</v>
      </c>
      <c r="C107" s="63">
        <v>2</v>
      </c>
      <c r="D107" s="63">
        <v>31</v>
      </c>
      <c r="E107" s="63">
        <v>261</v>
      </c>
      <c r="F107" s="63" t="s">
        <v>247</v>
      </c>
      <c r="G107" s="63">
        <v>29</v>
      </c>
      <c r="H107" s="59">
        <v>72</v>
      </c>
      <c r="I107" s="63">
        <v>365</v>
      </c>
    </row>
    <row r="108" spans="1:9" ht="17.25" customHeight="1">
      <c r="A108" s="4" t="s">
        <v>71</v>
      </c>
      <c r="B108" s="63">
        <v>482</v>
      </c>
      <c r="C108" s="63">
        <v>4</v>
      </c>
      <c r="D108" s="63">
        <v>32</v>
      </c>
      <c r="E108" s="63">
        <v>646</v>
      </c>
      <c r="F108" s="63" t="s">
        <v>247</v>
      </c>
      <c r="G108" s="63">
        <v>77</v>
      </c>
      <c r="H108" s="59">
        <v>87</v>
      </c>
      <c r="I108" s="63">
        <v>354</v>
      </c>
    </row>
    <row r="109" spans="1:9" ht="17.25" customHeight="1">
      <c r="A109" s="4" t="s">
        <v>51</v>
      </c>
      <c r="B109" s="63">
        <v>67</v>
      </c>
      <c r="C109" s="63" t="s">
        <v>247</v>
      </c>
      <c r="D109" s="63">
        <v>14</v>
      </c>
      <c r="E109" s="63">
        <v>48</v>
      </c>
      <c r="F109" s="63" t="s">
        <v>247</v>
      </c>
      <c r="G109" s="63">
        <v>84</v>
      </c>
      <c r="H109" s="59">
        <v>54</v>
      </c>
      <c r="I109" s="63">
        <v>221</v>
      </c>
    </row>
    <row r="110" spans="1:9" ht="17.25" customHeight="1">
      <c r="A110" s="4" t="s">
        <v>147</v>
      </c>
      <c r="B110" s="63">
        <v>8</v>
      </c>
      <c r="C110" s="63" t="s">
        <v>247</v>
      </c>
      <c r="D110" s="63" t="s">
        <v>247</v>
      </c>
      <c r="E110" s="63" t="s">
        <v>247</v>
      </c>
      <c r="F110" s="63" t="s">
        <v>247</v>
      </c>
      <c r="G110" s="63">
        <v>8</v>
      </c>
      <c r="H110" s="59">
        <v>19</v>
      </c>
      <c r="I110" s="63">
        <v>66</v>
      </c>
    </row>
    <row r="111" spans="1:9" s="1" customFormat="1" ht="18" customHeight="1">
      <c r="A111" s="253" t="s">
        <v>284</v>
      </c>
      <c r="B111" s="254"/>
      <c r="C111" s="10"/>
      <c r="F111" s="255"/>
      <c r="G111" s="255"/>
      <c r="H111" s="255"/>
      <c r="I111" s="250" t="s">
        <v>273</v>
      </c>
    </row>
    <row r="112" spans="1:9">
      <c r="A112" s="11"/>
      <c r="E112" s="6"/>
    </row>
  </sheetData>
  <sortState ref="A79:R110">
    <sortCondition ref="A79:A110"/>
  </sortState>
  <mergeCells count="5">
    <mergeCell ref="A38:I38"/>
    <mergeCell ref="A75:I75"/>
    <mergeCell ref="H76:I76"/>
    <mergeCell ref="A1:I1"/>
    <mergeCell ref="H2:I2"/>
  </mergeCells>
  <phoneticPr fontId="0" type="noConversion"/>
  <printOptions horizontalCentered="1"/>
  <pageMargins left="0.84" right="0.66929133858267698" top="0.98425196850393704" bottom="0.98425196850393704" header="0.511811023622047" footer="0.511811023622047"/>
  <pageSetup paperSize="9" firstPageNumber="160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9"/>
  <sheetViews>
    <sheetView view="pageBreakPreview" topLeftCell="A16" zoomScaleSheetLayoutView="100" workbookViewId="0">
      <selection activeCell="I12" sqref="I12"/>
    </sheetView>
  </sheetViews>
  <sheetFormatPr defaultRowHeight="12.75"/>
  <cols>
    <col min="1" max="1" width="13.5703125" customWidth="1"/>
    <col min="2" max="2" width="7.7109375" bestFit="1" customWidth="1"/>
    <col min="3" max="3" width="11.85546875" customWidth="1"/>
    <col min="4" max="4" width="9.42578125" customWidth="1"/>
    <col min="5" max="5" width="8.140625" customWidth="1"/>
    <col min="6" max="6" width="6.28515625" bestFit="1" customWidth="1"/>
    <col min="7" max="7" width="5.42578125" customWidth="1"/>
    <col min="8" max="8" width="10.140625" customWidth="1"/>
    <col min="9" max="9" width="11.140625" customWidth="1"/>
  </cols>
  <sheetData>
    <row r="1" spans="1:18" ht="60" customHeight="1">
      <c r="A1" s="262" t="s">
        <v>249</v>
      </c>
      <c r="B1" s="262"/>
      <c r="C1" s="262"/>
      <c r="D1" s="262"/>
      <c r="E1" s="262"/>
      <c r="F1" s="262"/>
      <c r="G1" s="262"/>
      <c r="H1" s="262"/>
      <c r="I1" s="262"/>
    </row>
    <row r="2" spans="1:18" s="1" customFormat="1" ht="13.15" customHeight="1">
      <c r="A2" s="1" t="s">
        <v>151</v>
      </c>
      <c r="E2" s="11" t="s">
        <v>199</v>
      </c>
      <c r="H2" s="275" t="s">
        <v>89</v>
      </c>
      <c r="I2" s="275"/>
    </row>
    <row r="3" spans="1:18" ht="48">
      <c r="A3" s="39" t="s">
        <v>91</v>
      </c>
      <c r="B3" s="39" t="s">
        <v>97</v>
      </c>
      <c r="C3" s="39" t="s">
        <v>143</v>
      </c>
      <c r="D3" s="39" t="s">
        <v>98</v>
      </c>
      <c r="E3" s="39" t="s">
        <v>99</v>
      </c>
      <c r="F3" s="39" t="s">
        <v>250</v>
      </c>
      <c r="G3" s="39" t="s">
        <v>251</v>
      </c>
      <c r="H3" s="40" t="s">
        <v>194</v>
      </c>
      <c r="I3" s="39" t="s">
        <v>133</v>
      </c>
    </row>
    <row r="4" spans="1:18" ht="25.5" customHeight="1">
      <c r="A4" s="15" t="s">
        <v>137</v>
      </c>
      <c r="B4" s="61">
        <f>SUM(B5:B36)</f>
        <v>7559</v>
      </c>
      <c r="C4" s="61">
        <f t="shared" ref="C4:I4" si="0">SUM(C5:C36)</f>
        <v>81</v>
      </c>
      <c r="D4" s="61">
        <f t="shared" si="0"/>
        <v>701</v>
      </c>
      <c r="E4" s="61">
        <f t="shared" si="0"/>
        <v>9825</v>
      </c>
      <c r="F4" s="61">
        <f t="shared" si="0"/>
        <v>1</v>
      </c>
      <c r="G4" s="61">
        <f t="shared" si="0"/>
        <v>3425</v>
      </c>
      <c r="H4" s="61">
        <f t="shared" si="0"/>
        <v>1934</v>
      </c>
      <c r="I4" s="61">
        <f t="shared" si="0"/>
        <v>13263</v>
      </c>
    </row>
    <row r="5" spans="1:18" ht="17.100000000000001" customHeight="1">
      <c r="A5" s="4" t="s">
        <v>34</v>
      </c>
      <c r="B5" s="63">
        <v>359</v>
      </c>
      <c r="C5" s="63">
        <v>3</v>
      </c>
      <c r="D5" s="63">
        <v>31</v>
      </c>
      <c r="E5" s="63">
        <v>639</v>
      </c>
      <c r="F5" s="63" t="s">
        <v>247</v>
      </c>
      <c r="G5" s="63">
        <v>1016</v>
      </c>
      <c r="H5" s="59">
        <v>77</v>
      </c>
      <c r="I5" s="63">
        <v>692</v>
      </c>
    </row>
    <row r="6" spans="1:18" ht="17.100000000000001" customHeight="1">
      <c r="A6" s="49" t="s">
        <v>178</v>
      </c>
      <c r="B6" s="63">
        <v>210</v>
      </c>
      <c r="C6" s="63">
        <v>1</v>
      </c>
      <c r="D6" s="63">
        <v>5</v>
      </c>
      <c r="E6" s="59">
        <v>87</v>
      </c>
      <c r="F6" s="59" t="s">
        <v>247</v>
      </c>
      <c r="G6" s="59">
        <v>69</v>
      </c>
      <c r="H6" s="59">
        <v>38</v>
      </c>
      <c r="I6" s="59">
        <v>413</v>
      </c>
      <c r="J6" s="1"/>
      <c r="K6" s="1"/>
      <c r="L6" s="1"/>
      <c r="M6" s="1"/>
      <c r="N6" s="1"/>
      <c r="O6" s="1"/>
      <c r="P6" s="1"/>
      <c r="Q6" s="1"/>
      <c r="R6" s="1"/>
    </row>
    <row r="7" spans="1:18" ht="17.100000000000001" customHeight="1">
      <c r="A7" s="4" t="s">
        <v>53</v>
      </c>
      <c r="B7" s="63">
        <v>238</v>
      </c>
      <c r="C7" s="63">
        <v>4</v>
      </c>
      <c r="D7" s="63">
        <v>16</v>
      </c>
      <c r="E7" s="63">
        <v>385</v>
      </c>
      <c r="F7" s="63" t="s">
        <v>247</v>
      </c>
      <c r="G7" s="63">
        <v>219</v>
      </c>
      <c r="H7" s="59">
        <v>102</v>
      </c>
      <c r="I7" s="63">
        <v>635</v>
      </c>
    </row>
    <row r="8" spans="1:18" ht="17.100000000000001" customHeight="1">
      <c r="A8" s="4" t="s">
        <v>44</v>
      </c>
      <c r="B8" s="63">
        <v>70</v>
      </c>
      <c r="C8" s="63" t="s">
        <v>247</v>
      </c>
      <c r="D8" s="63">
        <v>12</v>
      </c>
      <c r="E8" s="63">
        <v>91</v>
      </c>
      <c r="F8" s="63" t="s">
        <v>247</v>
      </c>
      <c r="G8" s="63">
        <v>43</v>
      </c>
      <c r="H8" s="59">
        <v>40</v>
      </c>
      <c r="I8" s="63">
        <v>183</v>
      </c>
    </row>
    <row r="9" spans="1:18" ht="17.100000000000001" customHeight="1">
      <c r="A9" s="4" t="s">
        <v>80</v>
      </c>
      <c r="B9" s="63">
        <v>149</v>
      </c>
      <c r="C9" s="63">
        <v>1</v>
      </c>
      <c r="D9" s="63">
        <v>16</v>
      </c>
      <c r="E9" s="63">
        <v>94</v>
      </c>
      <c r="F9" s="63" t="s">
        <v>247</v>
      </c>
      <c r="G9" s="63">
        <v>21</v>
      </c>
      <c r="H9" s="59">
        <v>30</v>
      </c>
      <c r="I9" s="63">
        <v>208</v>
      </c>
    </row>
    <row r="10" spans="1:18" ht="17.100000000000001" customHeight="1">
      <c r="A10" s="4" t="s">
        <v>17</v>
      </c>
      <c r="B10" s="63">
        <v>293</v>
      </c>
      <c r="C10" s="63">
        <v>1</v>
      </c>
      <c r="D10" s="63">
        <v>27</v>
      </c>
      <c r="E10" s="63">
        <v>213</v>
      </c>
      <c r="F10" s="63" t="s">
        <v>247</v>
      </c>
      <c r="G10" s="63">
        <v>55</v>
      </c>
      <c r="H10" s="59">
        <v>62</v>
      </c>
      <c r="I10" s="63">
        <v>393</v>
      </c>
    </row>
    <row r="11" spans="1:18" ht="17.100000000000001" customHeight="1">
      <c r="A11" s="4" t="s">
        <v>93</v>
      </c>
      <c r="B11" s="63">
        <v>112</v>
      </c>
      <c r="C11" s="63">
        <v>1</v>
      </c>
      <c r="D11" s="63">
        <v>22</v>
      </c>
      <c r="E11" s="63">
        <v>143</v>
      </c>
      <c r="F11" s="63" t="s">
        <v>247</v>
      </c>
      <c r="G11" s="63">
        <v>67</v>
      </c>
      <c r="H11" s="59">
        <v>38</v>
      </c>
      <c r="I11" s="63">
        <v>291</v>
      </c>
    </row>
    <row r="12" spans="1:18" ht="17.100000000000001" customHeight="1">
      <c r="A12" s="4" t="s">
        <v>57</v>
      </c>
      <c r="B12" s="63">
        <v>138</v>
      </c>
      <c r="C12" s="63">
        <v>4</v>
      </c>
      <c r="D12" s="63">
        <v>16</v>
      </c>
      <c r="E12" s="63">
        <v>374</v>
      </c>
      <c r="F12" s="63" t="s">
        <v>247</v>
      </c>
      <c r="G12" s="63">
        <v>129</v>
      </c>
      <c r="H12" s="59">
        <v>101</v>
      </c>
      <c r="I12" s="63">
        <v>620</v>
      </c>
    </row>
    <row r="13" spans="1:18" ht="17.100000000000001" customHeight="1">
      <c r="A13" s="4" t="s">
        <v>153</v>
      </c>
      <c r="B13" s="63">
        <v>359</v>
      </c>
      <c r="C13" s="63">
        <v>2</v>
      </c>
      <c r="D13" s="63">
        <v>30</v>
      </c>
      <c r="E13" s="63">
        <v>238</v>
      </c>
      <c r="F13" s="63" t="s">
        <v>247</v>
      </c>
      <c r="G13" s="63">
        <v>60</v>
      </c>
      <c r="H13" s="59">
        <v>65</v>
      </c>
      <c r="I13" s="63">
        <v>364</v>
      </c>
    </row>
    <row r="14" spans="1:18" ht="17.100000000000001" customHeight="1">
      <c r="A14" s="4" t="s">
        <v>154</v>
      </c>
      <c r="B14" s="63">
        <v>132</v>
      </c>
      <c r="C14" s="63" t="s">
        <v>247</v>
      </c>
      <c r="D14" s="63">
        <v>21</v>
      </c>
      <c r="E14" s="63">
        <v>120</v>
      </c>
      <c r="F14" s="63" t="s">
        <v>247</v>
      </c>
      <c r="G14" s="63">
        <v>44</v>
      </c>
      <c r="H14" s="59">
        <v>66</v>
      </c>
      <c r="I14" s="63">
        <v>282</v>
      </c>
    </row>
    <row r="15" spans="1:18" ht="17.100000000000001" customHeight="1">
      <c r="A15" s="4" t="s">
        <v>28</v>
      </c>
      <c r="B15" s="63">
        <v>77</v>
      </c>
      <c r="C15" s="63" t="s">
        <v>247</v>
      </c>
      <c r="D15" s="63">
        <v>15</v>
      </c>
      <c r="E15" s="63">
        <v>72</v>
      </c>
      <c r="F15" s="63" t="s">
        <v>247</v>
      </c>
      <c r="G15" s="63">
        <v>17</v>
      </c>
      <c r="H15" s="59">
        <v>32</v>
      </c>
      <c r="I15" s="63">
        <v>123</v>
      </c>
    </row>
    <row r="16" spans="1:18" ht="17.100000000000001" customHeight="1">
      <c r="A16" s="4" t="s">
        <v>36</v>
      </c>
      <c r="B16" s="63">
        <v>214</v>
      </c>
      <c r="C16" s="63">
        <v>2</v>
      </c>
      <c r="D16" s="63">
        <v>33</v>
      </c>
      <c r="E16" s="63">
        <v>144</v>
      </c>
      <c r="F16" s="63" t="s">
        <v>247</v>
      </c>
      <c r="G16" s="63">
        <v>67</v>
      </c>
      <c r="H16" s="59">
        <v>74</v>
      </c>
      <c r="I16" s="63">
        <v>327</v>
      </c>
    </row>
    <row r="17" spans="1:18" ht="17.100000000000001" customHeight="1">
      <c r="A17" s="4" t="s">
        <v>30</v>
      </c>
      <c r="B17" s="63">
        <v>200</v>
      </c>
      <c r="C17" s="63">
        <v>1</v>
      </c>
      <c r="D17" s="63">
        <v>24</v>
      </c>
      <c r="E17" s="63">
        <v>179</v>
      </c>
      <c r="F17" s="63" t="s">
        <v>247</v>
      </c>
      <c r="G17" s="63">
        <v>45</v>
      </c>
      <c r="H17" s="59">
        <v>51</v>
      </c>
      <c r="I17" s="63">
        <v>352</v>
      </c>
    </row>
    <row r="18" spans="1:18" ht="17.100000000000001" customHeight="1">
      <c r="A18" s="49" t="s">
        <v>179</v>
      </c>
      <c r="B18" s="63">
        <v>176</v>
      </c>
      <c r="C18" s="63">
        <v>1</v>
      </c>
      <c r="D18" s="63">
        <v>4</v>
      </c>
      <c r="E18" s="59">
        <v>149</v>
      </c>
      <c r="F18" s="59" t="s">
        <v>247</v>
      </c>
      <c r="G18" s="59">
        <v>60</v>
      </c>
      <c r="H18" s="59">
        <v>24</v>
      </c>
      <c r="I18" s="59">
        <v>270</v>
      </c>
    </row>
    <row r="19" spans="1:18" ht="17.100000000000001" customHeight="1">
      <c r="A19" s="4" t="s">
        <v>26</v>
      </c>
      <c r="B19" s="63">
        <v>230</v>
      </c>
      <c r="C19" s="63">
        <v>2</v>
      </c>
      <c r="D19" s="63">
        <v>26</v>
      </c>
      <c r="E19" s="63">
        <v>191</v>
      </c>
      <c r="F19" s="63" t="s">
        <v>247</v>
      </c>
      <c r="G19" s="63">
        <v>55</v>
      </c>
      <c r="H19" s="59">
        <v>62</v>
      </c>
      <c r="I19" s="63">
        <v>328</v>
      </c>
    </row>
    <row r="20" spans="1:18" ht="17.100000000000001" customHeight="1">
      <c r="A20" s="4" t="s">
        <v>92</v>
      </c>
      <c r="B20" s="63">
        <v>62</v>
      </c>
      <c r="C20" s="63" t="s">
        <v>247</v>
      </c>
      <c r="D20" s="63">
        <v>12</v>
      </c>
      <c r="E20" s="63">
        <v>9</v>
      </c>
      <c r="F20" s="63" t="s">
        <v>247</v>
      </c>
      <c r="G20" s="63">
        <v>3</v>
      </c>
      <c r="H20" s="59">
        <v>52</v>
      </c>
      <c r="I20" s="63">
        <v>191</v>
      </c>
    </row>
    <row r="21" spans="1:18" ht="17.100000000000001" customHeight="1">
      <c r="A21" s="49" t="s">
        <v>180</v>
      </c>
      <c r="B21" s="63">
        <v>150</v>
      </c>
      <c r="C21" s="63">
        <v>1</v>
      </c>
      <c r="D21" s="63">
        <v>6</v>
      </c>
      <c r="E21" s="59">
        <v>60</v>
      </c>
      <c r="F21" s="59" t="s">
        <v>247</v>
      </c>
      <c r="G21" s="59">
        <v>92</v>
      </c>
      <c r="H21" s="59">
        <v>28</v>
      </c>
      <c r="I21" s="59">
        <v>458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17.100000000000001" customHeight="1">
      <c r="A22" s="4" t="s">
        <v>55</v>
      </c>
      <c r="B22" s="63">
        <v>122</v>
      </c>
      <c r="C22" s="63">
        <v>1</v>
      </c>
      <c r="D22" s="63">
        <v>18</v>
      </c>
      <c r="E22" s="63">
        <v>164</v>
      </c>
      <c r="F22" s="63" t="s">
        <v>247</v>
      </c>
      <c r="G22" s="63">
        <v>83</v>
      </c>
      <c r="H22" s="59">
        <v>74</v>
      </c>
      <c r="I22" s="63">
        <v>349</v>
      </c>
    </row>
    <row r="23" spans="1:18" ht="17.100000000000001" customHeight="1">
      <c r="A23" s="4" t="s">
        <v>95</v>
      </c>
      <c r="B23" s="63">
        <v>203</v>
      </c>
      <c r="C23" s="63">
        <v>2</v>
      </c>
      <c r="D23" s="63">
        <v>30</v>
      </c>
      <c r="E23" s="63">
        <v>131</v>
      </c>
      <c r="F23" s="63" t="s">
        <v>247</v>
      </c>
      <c r="G23" s="63">
        <v>45</v>
      </c>
      <c r="H23" s="59">
        <v>44</v>
      </c>
      <c r="I23" s="63">
        <v>296</v>
      </c>
    </row>
    <row r="24" spans="1:18" ht="17.100000000000001" customHeight="1">
      <c r="A24" s="4" t="s">
        <v>39</v>
      </c>
      <c r="B24" s="63">
        <v>296</v>
      </c>
      <c r="C24" s="63">
        <v>2</v>
      </c>
      <c r="D24" s="63">
        <v>41</v>
      </c>
      <c r="E24" s="63">
        <v>150</v>
      </c>
      <c r="F24" s="63" t="s">
        <v>247</v>
      </c>
      <c r="G24" s="63">
        <v>116</v>
      </c>
      <c r="H24" s="59">
        <v>84</v>
      </c>
      <c r="I24" s="63">
        <v>459</v>
      </c>
    </row>
    <row r="25" spans="1:18" ht="17.100000000000001" customHeight="1">
      <c r="A25" s="4" t="s">
        <v>20</v>
      </c>
      <c r="B25" s="63">
        <v>546</v>
      </c>
      <c r="C25" s="63">
        <v>6</v>
      </c>
      <c r="D25" s="63">
        <v>66</v>
      </c>
      <c r="E25" s="63">
        <v>586</v>
      </c>
      <c r="F25" s="63" t="s">
        <v>247</v>
      </c>
      <c r="G25" s="63">
        <v>126</v>
      </c>
      <c r="H25" s="59">
        <v>92</v>
      </c>
      <c r="I25" s="63">
        <v>688</v>
      </c>
    </row>
    <row r="26" spans="1:18" ht="17.100000000000001" customHeight="1">
      <c r="A26" s="49" t="s">
        <v>181</v>
      </c>
      <c r="B26" s="63">
        <v>91</v>
      </c>
      <c r="C26" s="63">
        <v>1</v>
      </c>
      <c r="D26" s="63">
        <v>1</v>
      </c>
      <c r="E26" s="59">
        <v>41</v>
      </c>
      <c r="F26" s="59" t="s">
        <v>247</v>
      </c>
      <c r="G26" s="59">
        <v>40</v>
      </c>
      <c r="H26" s="59">
        <v>32</v>
      </c>
      <c r="I26" s="59">
        <v>250</v>
      </c>
    </row>
    <row r="27" spans="1:18" ht="17.100000000000001" customHeight="1">
      <c r="A27" s="49" t="s">
        <v>183</v>
      </c>
      <c r="B27" s="63">
        <v>169</v>
      </c>
      <c r="C27" s="63">
        <v>1</v>
      </c>
      <c r="D27" s="63">
        <v>12</v>
      </c>
      <c r="E27" s="59">
        <v>120</v>
      </c>
      <c r="F27" s="59" t="s">
        <v>247</v>
      </c>
      <c r="G27" s="59">
        <v>293</v>
      </c>
      <c r="H27" s="59">
        <v>140</v>
      </c>
      <c r="I27" s="59">
        <v>817</v>
      </c>
    </row>
    <row r="28" spans="1:18" ht="17.100000000000001" customHeight="1">
      <c r="A28" s="4" t="s">
        <v>15</v>
      </c>
      <c r="B28" s="63">
        <v>509</v>
      </c>
      <c r="C28" s="63">
        <v>9</v>
      </c>
      <c r="D28" s="63">
        <v>44</v>
      </c>
      <c r="E28" s="63">
        <v>396</v>
      </c>
      <c r="F28" s="63">
        <v>1</v>
      </c>
      <c r="G28" s="63">
        <v>65</v>
      </c>
      <c r="H28" s="59">
        <v>61</v>
      </c>
      <c r="I28" s="63">
        <v>462</v>
      </c>
    </row>
    <row r="29" spans="1:18" ht="17.100000000000001" customHeight="1">
      <c r="A29" s="49" t="s">
        <v>182</v>
      </c>
      <c r="B29" s="63">
        <v>134</v>
      </c>
      <c r="C29" s="63" t="s">
        <v>247</v>
      </c>
      <c r="D29" s="63">
        <v>4</v>
      </c>
      <c r="E29" s="59">
        <v>66</v>
      </c>
      <c r="F29" s="59" t="s">
        <v>247</v>
      </c>
      <c r="G29" s="59">
        <v>53</v>
      </c>
      <c r="H29" s="59">
        <v>29</v>
      </c>
      <c r="I29" s="59">
        <v>206</v>
      </c>
    </row>
    <row r="30" spans="1:18" s="1" customFormat="1" ht="17.100000000000001" customHeight="1">
      <c r="A30" s="4" t="s">
        <v>13</v>
      </c>
      <c r="B30" s="63">
        <v>1158</v>
      </c>
      <c r="C30" s="63">
        <v>26</v>
      </c>
      <c r="D30" s="63">
        <v>66</v>
      </c>
      <c r="E30" s="63">
        <v>3746</v>
      </c>
      <c r="F30" s="63" t="s">
        <v>247</v>
      </c>
      <c r="G30" s="63">
        <v>221</v>
      </c>
      <c r="H30" s="59">
        <v>131</v>
      </c>
      <c r="I30" s="63">
        <v>1953</v>
      </c>
      <c r="J30"/>
      <c r="K30"/>
      <c r="L30"/>
      <c r="M30"/>
      <c r="N30"/>
      <c r="O30"/>
      <c r="P30"/>
      <c r="Q30"/>
      <c r="R30"/>
    </row>
    <row r="31" spans="1:18" ht="17.100000000000001" customHeight="1">
      <c r="A31" s="4" t="s">
        <v>94</v>
      </c>
      <c r="B31" s="63">
        <v>137</v>
      </c>
      <c r="C31" s="63">
        <v>2</v>
      </c>
      <c r="D31" s="63">
        <v>23</v>
      </c>
      <c r="E31" s="63">
        <v>131</v>
      </c>
      <c r="F31" s="63" t="s">
        <v>247</v>
      </c>
      <c r="G31" s="63">
        <v>19</v>
      </c>
      <c r="H31" s="59">
        <v>41</v>
      </c>
      <c r="I31" s="63">
        <v>225</v>
      </c>
    </row>
    <row r="32" spans="1:18" s="1" customFormat="1" ht="17.100000000000001" customHeight="1">
      <c r="A32" s="49" t="s">
        <v>184</v>
      </c>
      <c r="B32" s="63">
        <v>213</v>
      </c>
      <c r="C32" s="63">
        <v>1</v>
      </c>
      <c r="D32" s="63">
        <v>3</v>
      </c>
      <c r="E32" s="59">
        <v>151</v>
      </c>
      <c r="F32" s="59" t="s">
        <v>247</v>
      </c>
      <c r="G32" s="59">
        <v>104</v>
      </c>
      <c r="H32" s="59">
        <v>32</v>
      </c>
      <c r="I32" s="59">
        <v>422</v>
      </c>
      <c r="J32"/>
      <c r="K32"/>
      <c r="L32"/>
      <c r="M32"/>
      <c r="N32"/>
      <c r="O32"/>
      <c r="P32"/>
      <c r="Q32"/>
      <c r="R32"/>
    </row>
    <row r="33" spans="1:9" ht="17.100000000000001" customHeight="1">
      <c r="A33" s="4" t="s">
        <v>23</v>
      </c>
      <c r="B33" s="63">
        <v>255</v>
      </c>
      <c r="C33" s="63">
        <v>2</v>
      </c>
      <c r="D33" s="63">
        <v>31</v>
      </c>
      <c r="E33" s="63">
        <v>261</v>
      </c>
      <c r="F33" s="63" t="s">
        <v>247</v>
      </c>
      <c r="G33" s="63">
        <v>29</v>
      </c>
      <c r="H33" s="59">
        <v>72</v>
      </c>
      <c r="I33" s="63">
        <v>365</v>
      </c>
    </row>
    <row r="34" spans="1:9" ht="17.100000000000001" customHeight="1">
      <c r="A34" s="4" t="s">
        <v>71</v>
      </c>
      <c r="B34" s="63">
        <v>482</v>
      </c>
      <c r="C34" s="63">
        <v>4</v>
      </c>
      <c r="D34" s="63">
        <v>32</v>
      </c>
      <c r="E34" s="63">
        <v>646</v>
      </c>
      <c r="F34" s="63" t="s">
        <v>247</v>
      </c>
      <c r="G34" s="63">
        <v>77</v>
      </c>
      <c r="H34" s="59">
        <v>87</v>
      </c>
      <c r="I34" s="63">
        <v>354</v>
      </c>
    </row>
    <row r="35" spans="1:9" ht="17.100000000000001" customHeight="1">
      <c r="A35" s="4" t="s">
        <v>51</v>
      </c>
      <c r="B35" s="63">
        <v>67</v>
      </c>
      <c r="C35" s="63" t="s">
        <v>247</v>
      </c>
      <c r="D35" s="63">
        <v>14</v>
      </c>
      <c r="E35" s="63">
        <v>48</v>
      </c>
      <c r="F35" s="63" t="s">
        <v>247</v>
      </c>
      <c r="G35" s="63">
        <v>84</v>
      </c>
      <c r="H35" s="59">
        <v>54</v>
      </c>
      <c r="I35" s="63">
        <v>221</v>
      </c>
    </row>
    <row r="36" spans="1:9" ht="17.100000000000001" customHeight="1">
      <c r="A36" s="4" t="s">
        <v>147</v>
      </c>
      <c r="B36" s="63">
        <v>8</v>
      </c>
      <c r="C36" s="63" t="s">
        <v>247</v>
      </c>
      <c r="D36" s="63" t="s">
        <v>247</v>
      </c>
      <c r="E36" s="63" t="s">
        <v>247</v>
      </c>
      <c r="F36" s="63" t="s">
        <v>247</v>
      </c>
      <c r="G36" s="63">
        <v>8</v>
      </c>
      <c r="H36" s="59">
        <v>19</v>
      </c>
      <c r="I36" s="63">
        <v>66</v>
      </c>
    </row>
    <row r="37" spans="1:9" s="1" customFormat="1" ht="13.5" customHeight="1">
      <c r="A37" s="256" t="s">
        <v>285</v>
      </c>
      <c r="B37" s="254"/>
      <c r="C37" s="254"/>
      <c r="D37" s="254"/>
      <c r="E37" s="254"/>
      <c r="F37" s="254"/>
      <c r="G37" s="254"/>
      <c r="H37" s="257"/>
    </row>
    <row r="38" spans="1:9" s="1" customFormat="1" ht="10.5" customHeight="1">
      <c r="A38" s="256"/>
      <c r="B38" s="254"/>
      <c r="C38" s="10"/>
      <c r="F38" s="255"/>
      <c r="G38" s="255"/>
      <c r="H38" s="255"/>
      <c r="I38" s="250" t="s">
        <v>273</v>
      </c>
    </row>
    <row r="39" spans="1:9">
      <c r="A39" s="11"/>
      <c r="E39" s="6"/>
    </row>
  </sheetData>
  <mergeCells count="2">
    <mergeCell ref="A1:I1"/>
    <mergeCell ref="H2:I2"/>
  </mergeCells>
  <printOptions horizontalCentered="1"/>
  <pageMargins left="0.84" right="0.66929133858267698" top="0.98425196850393704" bottom="0.98425196850393704" header="0.511811023622047" footer="0.511811023622047"/>
  <pageSetup paperSize="9" firstPageNumber="160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6"/>
  <sheetViews>
    <sheetView view="pageBreakPreview" zoomScaleSheetLayoutView="100" workbookViewId="0">
      <selection activeCell="I12" sqref="I12"/>
    </sheetView>
  </sheetViews>
  <sheetFormatPr defaultRowHeight="12.75"/>
  <cols>
    <col min="1" max="1" width="6.42578125" style="112" customWidth="1"/>
    <col min="2" max="2" width="34.28515625" style="112" customWidth="1"/>
    <col min="3" max="3" width="9.7109375" style="112" customWidth="1"/>
    <col min="4" max="4" width="12.28515625" style="112" customWidth="1"/>
    <col min="5" max="6" width="9.7109375" style="112" customWidth="1"/>
    <col min="7" max="7" width="10.28515625" style="112" customWidth="1"/>
    <col min="8" max="8" width="9.7109375" style="112" customWidth="1"/>
    <col min="9" max="10" width="11" style="112" customWidth="1"/>
    <col min="11" max="16384" width="9.140625" style="112"/>
  </cols>
  <sheetData>
    <row r="1" spans="1:19" ht="60" customHeight="1">
      <c r="A1" s="278" t="s">
        <v>252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9" s="113" customFormat="1" ht="13.15" customHeight="1">
      <c r="A2" s="140" t="s">
        <v>152</v>
      </c>
      <c r="D2" s="277" t="s">
        <v>199</v>
      </c>
      <c r="E2" s="277"/>
      <c r="F2" s="277"/>
      <c r="I2" s="276" t="s">
        <v>89</v>
      </c>
      <c r="J2" s="276"/>
    </row>
    <row r="3" spans="1:19" s="129" customFormat="1" ht="48">
      <c r="A3" s="279" t="s">
        <v>258</v>
      </c>
      <c r="B3" s="138" t="s">
        <v>241</v>
      </c>
      <c r="C3" s="138" t="s">
        <v>97</v>
      </c>
      <c r="D3" s="138" t="s">
        <v>143</v>
      </c>
      <c r="E3" s="138" t="s">
        <v>98</v>
      </c>
      <c r="F3" s="138" t="s">
        <v>99</v>
      </c>
      <c r="G3" s="138" t="s">
        <v>250</v>
      </c>
      <c r="H3" s="138" t="s">
        <v>251</v>
      </c>
      <c r="I3" s="139" t="s">
        <v>194</v>
      </c>
      <c r="J3" s="138" t="s">
        <v>274</v>
      </c>
    </row>
    <row r="4" spans="1:19" s="129" customFormat="1" ht="25.5" customHeight="1">
      <c r="A4" s="279"/>
      <c r="B4" s="128" t="s">
        <v>137</v>
      </c>
      <c r="C4" s="134">
        <f t="shared" ref="C4:J4" si="0">SUM(C5:C13)</f>
        <v>1470</v>
      </c>
      <c r="D4" s="134">
        <f t="shared" si="0"/>
        <v>24</v>
      </c>
      <c r="E4" s="134">
        <f t="shared" si="0"/>
        <v>55</v>
      </c>
      <c r="F4" s="134">
        <f t="shared" si="0"/>
        <v>2764</v>
      </c>
      <c r="G4" s="134">
        <f t="shared" si="0"/>
        <v>1</v>
      </c>
      <c r="H4" s="134">
        <f t="shared" si="0"/>
        <v>268</v>
      </c>
      <c r="I4" s="134">
        <f t="shared" si="0"/>
        <v>13</v>
      </c>
      <c r="J4" s="134">
        <f t="shared" si="0"/>
        <v>2230</v>
      </c>
    </row>
    <row r="5" spans="1:19" s="129" customFormat="1" ht="25.5" customHeight="1">
      <c r="A5" s="130">
        <v>1</v>
      </c>
      <c r="B5" s="131" t="s">
        <v>244</v>
      </c>
      <c r="C5" s="135">
        <v>135</v>
      </c>
      <c r="D5" s="135">
        <v>4</v>
      </c>
      <c r="E5" s="135">
        <v>3</v>
      </c>
      <c r="F5" s="135">
        <v>339</v>
      </c>
      <c r="G5" s="135" t="s">
        <v>247</v>
      </c>
      <c r="H5" s="135">
        <v>50</v>
      </c>
      <c r="I5" s="136" t="s">
        <v>247</v>
      </c>
      <c r="J5" s="135">
        <v>400</v>
      </c>
    </row>
    <row r="6" spans="1:19" s="129" customFormat="1" ht="25.5" customHeight="1">
      <c r="A6" s="130">
        <v>2</v>
      </c>
      <c r="B6" s="132" t="s">
        <v>242</v>
      </c>
      <c r="C6" s="135">
        <v>53</v>
      </c>
      <c r="D6" s="135" t="s">
        <v>247</v>
      </c>
      <c r="E6" s="135" t="s">
        <v>247</v>
      </c>
      <c r="F6" s="136">
        <v>159</v>
      </c>
      <c r="G6" s="136" t="s">
        <v>247</v>
      </c>
      <c r="H6" s="136">
        <v>3</v>
      </c>
      <c r="I6" s="136" t="s">
        <v>247</v>
      </c>
      <c r="J6" s="136">
        <v>72</v>
      </c>
      <c r="K6" s="133"/>
      <c r="L6" s="133"/>
      <c r="M6" s="133"/>
      <c r="N6" s="133"/>
      <c r="O6" s="133"/>
      <c r="P6" s="133"/>
      <c r="Q6" s="133"/>
      <c r="R6" s="133"/>
      <c r="S6" s="133"/>
    </row>
    <row r="7" spans="1:19" s="129" customFormat="1" ht="25.5" customHeight="1">
      <c r="A7" s="130">
        <v>3</v>
      </c>
      <c r="B7" s="131" t="s">
        <v>253</v>
      </c>
      <c r="C7" s="135">
        <v>175</v>
      </c>
      <c r="D7" s="135">
        <v>8</v>
      </c>
      <c r="E7" s="135" t="s">
        <v>247</v>
      </c>
      <c r="F7" s="135">
        <v>972</v>
      </c>
      <c r="G7" s="135" t="s">
        <v>247</v>
      </c>
      <c r="H7" s="135">
        <v>50</v>
      </c>
      <c r="I7" s="136" t="s">
        <v>247</v>
      </c>
      <c r="J7" s="135">
        <v>540</v>
      </c>
    </row>
    <row r="8" spans="1:19" s="129" customFormat="1" ht="25.5" customHeight="1">
      <c r="A8" s="130">
        <v>4</v>
      </c>
      <c r="B8" s="131" t="s">
        <v>245</v>
      </c>
      <c r="C8" s="135">
        <v>334</v>
      </c>
      <c r="D8" s="135">
        <v>1</v>
      </c>
      <c r="E8" s="135">
        <v>5</v>
      </c>
      <c r="F8" s="135">
        <v>385</v>
      </c>
      <c r="G8" s="135" t="s">
        <v>247</v>
      </c>
      <c r="H8" s="135">
        <v>24</v>
      </c>
      <c r="I8" s="136">
        <v>2</v>
      </c>
      <c r="J8" s="135">
        <v>320</v>
      </c>
    </row>
    <row r="9" spans="1:19" s="129" customFormat="1" ht="25.5" customHeight="1">
      <c r="A9" s="130">
        <v>5</v>
      </c>
      <c r="B9" s="131" t="s">
        <v>246</v>
      </c>
      <c r="C9" s="135">
        <v>165</v>
      </c>
      <c r="D9" s="135" t="s">
        <v>247</v>
      </c>
      <c r="E9" s="135">
        <v>5</v>
      </c>
      <c r="F9" s="135">
        <v>417</v>
      </c>
      <c r="G9" s="135" t="s">
        <v>247</v>
      </c>
      <c r="H9" s="135">
        <v>40</v>
      </c>
      <c r="I9" s="136">
        <v>2</v>
      </c>
      <c r="J9" s="135">
        <v>307</v>
      </c>
    </row>
    <row r="10" spans="1:19" s="129" customFormat="1" ht="25.5" customHeight="1">
      <c r="A10" s="130">
        <v>6</v>
      </c>
      <c r="B10" s="131" t="s">
        <v>243</v>
      </c>
      <c r="C10" s="135">
        <v>250</v>
      </c>
      <c r="D10" s="135">
        <v>2</v>
      </c>
      <c r="E10" s="135">
        <v>33</v>
      </c>
      <c r="F10" s="135">
        <v>210</v>
      </c>
      <c r="G10" s="135" t="s">
        <v>247</v>
      </c>
      <c r="H10" s="135">
        <v>34</v>
      </c>
      <c r="I10" s="135">
        <v>1</v>
      </c>
      <c r="J10" s="135">
        <v>230</v>
      </c>
    </row>
    <row r="11" spans="1:19" s="129" customFormat="1" ht="25.5" customHeight="1">
      <c r="A11" s="130">
        <v>7</v>
      </c>
      <c r="B11" s="131" t="s">
        <v>254</v>
      </c>
      <c r="C11" s="135">
        <v>198</v>
      </c>
      <c r="D11" s="135">
        <v>7</v>
      </c>
      <c r="E11" s="135">
        <v>6</v>
      </c>
      <c r="F11" s="135">
        <v>142</v>
      </c>
      <c r="G11" s="135">
        <v>1</v>
      </c>
      <c r="H11" s="135">
        <v>5</v>
      </c>
      <c r="I11" s="136">
        <v>5</v>
      </c>
      <c r="J11" s="135">
        <v>148</v>
      </c>
    </row>
    <row r="12" spans="1:19" s="129" customFormat="1" ht="25.5" customHeight="1">
      <c r="A12" s="130">
        <v>8</v>
      </c>
      <c r="B12" s="131" t="s">
        <v>259</v>
      </c>
      <c r="C12" s="135">
        <v>39</v>
      </c>
      <c r="D12" s="135" t="s">
        <v>247</v>
      </c>
      <c r="E12" s="135" t="s">
        <v>247</v>
      </c>
      <c r="F12" s="135">
        <v>90</v>
      </c>
      <c r="G12" s="135" t="s">
        <v>247</v>
      </c>
      <c r="H12" s="135">
        <v>13</v>
      </c>
      <c r="I12" s="136">
        <v>3</v>
      </c>
      <c r="J12" s="135">
        <v>101</v>
      </c>
    </row>
    <row r="13" spans="1:19" s="129" customFormat="1" ht="25.5" customHeight="1">
      <c r="A13" s="130">
        <v>9</v>
      </c>
      <c r="B13" s="131" t="s">
        <v>255</v>
      </c>
      <c r="C13" s="135">
        <v>121</v>
      </c>
      <c r="D13" s="135">
        <v>2</v>
      </c>
      <c r="E13" s="135">
        <v>3</v>
      </c>
      <c r="F13" s="135">
        <v>50</v>
      </c>
      <c r="G13" s="135" t="s">
        <v>247</v>
      </c>
      <c r="H13" s="135">
        <v>49</v>
      </c>
      <c r="I13" s="136" t="s">
        <v>247</v>
      </c>
      <c r="J13" s="135">
        <v>112</v>
      </c>
    </row>
    <row r="14" spans="1:19" ht="13.5" customHeight="1">
      <c r="B14" s="114"/>
      <c r="C14" s="115"/>
      <c r="D14" s="115"/>
      <c r="E14" s="115"/>
      <c r="F14" s="115"/>
      <c r="G14" s="115"/>
      <c r="H14" s="115"/>
      <c r="I14" s="116"/>
    </row>
    <row r="15" spans="1:19" ht="18.75" customHeight="1">
      <c r="B15" s="114"/>
      <c r="C15" s="115"/>
      <c r="D15" s="117"/>
      <c r="G15" s="115"/>
      <c r="H15" s="118" t="s">
        <v>263</v>
      </c>
      <c r="I15" s="137" t="s">
        <v>264</v>
      </c>
    </row>
    <row r="16" spans="1:19">
      <c r="B16" s="119"/>
      <c r="F16" s="120"/>
    </row>
  </sheetData>
  <mergeCells count="4">
    <mergeCell ref="I2:J2"/>
    <mergeCell ref="D2:F2"/>
    <mergeCell ref="A1:J1"/>
    <mergeCell ref="A3:A4"/>
  </mergeCells>
  <printOptions horizontalCentered="1"/>
  <pageMargins left="0.84" right="0.66929133858267698" top="0.98425196850393704" bottom="0.98425196850393704" header="0.511811023622047" footer="0.511811023622047"/>
  <pageSetup paperSize="9" firstPageNumber="160" orientation="landscape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42"/>
  <sheetViews>
    <sheetView view="pageBreakPreview" topLeftCell="A19" zoomScaleSheetLayoutView="100" workbookViewId="0">
      <selection activeCell="I12" sqref="I12"/>
    </sheetView>
  </sheetViews>
  <sheetFormatPr defaultColWidth="9.140625" defaultRowHeight="12.75"/>
  <cols>
    <col min="1" max="1" width="17.5703125" style="20" bestFit="1" customWidth="1"/>
    <col min="2" max="4" width="7.7109375" style="54" customWidth="1"/>
    <col min="5" max="9" width="7.7109375" style="20" customWidth="1"/>
    <col min="10" max="10" width="7.42578125" style="20" customWidth="1"/>
    <col min="11" max="11" width="11.42578125" style="20" customWidth="1"/>
    <col min="12" max="12" width="9.140625" style="20" bestFit="1" customWidth="1"/>
    <col min="13" max="13" width="7.5703125" style="20" bestFit="1" customWidth="1"/>
    <col min="14" max="15" width="9.140625" style="20" bestFit="1" customWidth="1"/>
    <col min="16" max="16" width="7.5703125" style="20" bestFit="1" customWidth="1"/>
    <col min="17" max="17" width="9.140625" style="20" customWidth="1"/>
    <col min="18" max="18" width="9.140625" style="20" bestFit="1" customWidth="1"/>
    <col min="19" max="19" width="7.5703125" style="20" bestFit="1" customWidth="1"/>
    <col min="20" max="20" width="9.140625" style="20" customWidth="1"/>
    <col min="21" max="16384" width="9.140625" style="20"/>
  </cols>
  <sheetData>
    <row r="1" spans="1:20" ht="60" customHeight="1">
      <c r="A1" s="280" t="s">
        <v>139</v>
      </c>
      <c r="B1" s="280"/>
      <c r="C1" s="280"/>
      <c r="D1" s="280"/>
      <c r="E1" s="280"/>
      <c r="F1" s="280"/>
      <c r="G1" s="280"/>
      <c r="H1" s="280"/>
      <c r="I1" s="280"/>
      <c r="J1" s="280"/>
      <c r="K1" s="280" t="s">
        <v>140</v>
      </c>
      <c r="L1" s="280"/>
      <c r="M1" s="280"/>
      <c r="N1" s="280"/>
      <c r="O1" s="280"/>
      <c r="P1" s="280"/>
      <c r="Q1" s="280"/>
      <c r="R1" s="280"/>
      <c r="S1" s="280"/>
      <c r="T1" s="280"/>
    </row>
    <row r="2" spans="1:20" s="27" customFormat="1" ht="13.15" customHeight="1">
      <c r="A2" s="27" t="s">
        <v>156</v>
      </c>
      <c r="B2" s="56"/>
      <c r="C2" s="56"/>
      <c r="D2" s="56"/>
      <c r="I2" s="284" t="s">
        <v>89</v>
      </c>
      <c r="J2" s="284"/>
      <c r="K2" s="27" t="s">
        <v>157</v>
      </c>
      <c r="T2" s="79" t="s">
        <v>89</v>
      </c>
    </row>
    <row r="3" spans="1:20" s="21" customFormat="1" ht="20.100000000000001" customHeight="1">
      <c r="A3" s="285" t="s">
        <v>91</v>
      </c>
      <c r="B3" s="285" t="s">
        <v>174</v>
      </c>
      <c r="C3" s="285"/>
      <c r="D3" s="285"/>
      <c r="E3" s="281" t="s">
        <v>192</v>
      </c>
      <c r="F3" s="282"/>
      <c r="G3" s="283"/>
      <c r="H3" s="286" t="s">
        <v>202</v>
      </c>
      <c r="I3" s="286"/>
      <c r="J3" s="286"/>
      <c r="K3" s="285" t="s">
        <v>91</v>
      </c>
      <c r="L3" s="281">
        <v>2018</v>
      </c>
      <c r="M3" s="282"/>
      <c r="N3" s="283"/>
      <c r="O3" s="281">
        <v>2019</v>
      </c>
      <c r="P3" s="282"/>
      <c r="Q3" s="283"/>
      <c r="R3" s="281">
        <v>2020</v>
      </c>
      <c r="S3" s="282"/>
      <c r="T3" s="283"/>
    </row>
    <row r="4" spans="1:20" s="21" customFormat="1" ht="20.100000000000001" customHeight="1">
      <c r="A4" s="285"/>
      <c r="B4" s="80" t="s">
        <v>103</v>
      </c>
      <c r="C4" s="80" t="s">
        <v>104</v>
      </c>
      <c r="D4" s="80" t="s">
        <v>105</v>
      </c>
      <c r="E4" s="80" t="s">
        <v>103</v>
      </c>
      <c r="F4" s="80" t="s">
        <v>104</v>
      </c>
      <c r="G4" s="80" t="s">
        <v>105</v>
      </c>
      <c r="H4" s="81" t="s">
        <v>103</v>
      </c>
      <c r="I4" s="81" t="s">
        <v>104</v>
      </c>
      <c r="J4" s="81" t="s">
        <v>105</v>
      </c>
      <c r="K4" s="285"/>
      <c r="L4" s="80" t="s">
        <v>103</v>
      </c>
      <c r="M4" s="80" t="s">
        <v>128</v>
      </c>
      <c r="N4" s="80" t="s">
        <v>129</v>
      </c>
      <c r="O4" s="80" t="s">
        <v>103</v>
      </c>
      <c r="P4" s="80" t="s">
        <v>128</v>
      </c>
      <c r="Q4" s="80" t="s">
        <v>129</v>
      </c>
      <c r="R4" s="80" t="s">
        <v>103</v>
      </c>
      <c r="S4" s="80" t="s">
        <v>128</v>
      </c>
      <c r="T4" s="80" t="s">
        <v>129</v>
      </c>
    </row>
    <row r="5" spans="1:20" s="21" customFormat="1" ht="25.5" customHeight="1">
      <c r="A5" s="74" t="s">
        <v>197</v>
      </c>
      <c r="B5" s="66">
        <f>SUM(C5:D5)</f>
        <v>3121</v>
      </c>
      <c r="C5" s="66">
        <f>SUM(C6:C37)</f>
        <v>2816</v>
      </c>
      <c r="D5" s="66">
        <f>SUM(D6:D37)</f>
        <v>305</v>
      </c>
      <c r="E5" s="66">
        <f t="shared" ref="E5:E36" si="0">SUM(F5:G5)</f>
        <v>4204</v>
      </c>
      <c r="F5" s="66">
        <f>SUM(F6:F37)</f>
        <v>3413</v>
      </c>
      <c r="G5" s="66">
        <f>SUM(G6:G37)</f>
        <v>791</v>
      </c>
      <c r="H5" s="66">
        <f>SUM(I5:J5)</f>
        <v>4659</v>
      </c>
      <c r="I5" s="66">
        <f>SUM(I6:I37)</f>
        <v>4118</v>
      </c>
      <c r="J5" s="66">
        <f>SUM(J6:J37)</f>
        <v>541</v>
      </c>
      <c r="K5" s="153" t="s">
        <v>197</v>
      </c>
      <c r="L5" s="150">
        <f t="shared" ref="L5:L36" si="1">SUM(M5+N5)</f>
        <v>31237787</v>
      </c>
      <c r="M5" s="151">
        <f>SUM(M6:M37)</f>
        <v>527005</v>
      </c>
      <c r="N5" s="151">
        <f>SUM(N6:N37)</f>
        <v>30710782</v>
      </c>
      <c r="O5" s="152">
        <f t="shared" ref="O5:O36" si="2">SUM(P5+Q5)</f>
        <v>29538882</v>
      </c>
      <c r="P5" s="151">
        <f>SUM(P6:P37)</f>
        <v>981704</v>
      </c>
      <c r="Q5" s="151">
        <f>SUM(Q6:Q37)</f>
        <v>28557178</v>
      </c>
      <c r="R5" s="150">
        <f t="shared" ref="R5:R36" si="3">SUM(S5+T5)</f>
        <v>29833126</v>
      </c>
      <c r="S5" s="151">
        <f>SUM(S6:S37)</f>
        <v>691297</v>
      </c>
      <c r="T5" s="151">
        <f>SUM(T6:T37)</f>
        <v>29141829</v>
      </c>
    </row>
    <row r="6" spans="1:20" s="21" customFormat="1" ht="16.5" customHeight="1">
      <c r="A6" s="22" t="s">
        <v>34</v>
      </c>
      <c r="B6" s="68">
        <f>SUM(C6:D6)</f>
        <v>406</v>
      </c>
      <c r="C6" s="69">
        <v>335</v>
      </c>
      <c r="D6" s="69">
        <v>71</v>
      </c>
      <c r="E6" s="68">
        <f t="shared" si="0"/>
        <v>438</v>
      </c>
      <c r="F6" s="69">
        <v>350</v>
      </c>
      <c r="G6" s="69">
        <v>88</v>
      </c>
      <c r="H6" s="68">
        <f>SUM(I6:J6)</f>
        <v>432</v>
      </c>
      <c r="I6" s="68">
        <v>351</v>
      </c>
      <c r="J6" s="68">
        <v>81</v>
      </c>
      <c r="K6" s="22" t="s">
        <v>34</v>
      </c>
      <c r="L6" s="72">
        <f t="shared" si="1"/>
        <v>1489811</v>
      </c>
      <c r="M6" s="73">
        <v>18698</v>
      </c>
      <c r="N6" s="73">
        <v>1471113</v>
      </c>
      <c r="O6" s="72">
        <f t="shared" si="2"/>
        <v>1378515</v>
      </c>
      <c r="P6" s="73">
        <v>12214</v>
      </c>
      <c r="Q6" s="73">
        <v>1366301</v>
      </c>
      <c r="R6" s="100">
        <f t="shared" si="3"/>
        <v>1390606</v>
      </c>
      <c r="S6" s="68">
        <v>23902</v>
      </c>
      <c r="T6" s="68">
        <v>1366704</v>
      </c>
    </row>
    <row r="7" spans="1:20" s="21" customFormat="1" ht="16.5" customHeight="1">
      <c r="A7" s="49" t="s">
        <v>178</v>
      </c>
      <c r="B7" s="59" t="s">
        <v>247</v>
      </c>
      <c r="C7" s="59" t="s">
        <v>247</v>
      </c>
      <c r="D7" s="59" t="s">
        <v>247</v>
      </c>
      <c r="E7" s="68">
        <f t="shared" si="0"/>
        <v>4</v>
      </c>
      <c r="F7" s="63">
        <v>4</v>
      </c>
      <c r="G7" s="63" t="s">
        <v>247</v>
      </c>
      <c r="H7" s="68">
        <f t="shared" ref="H7:H35" si="4">SUM(I7:J7)</f>
        <v>12</v>
      </c>
      <c r="I7" s="60">
        <v>12</v>
      </c>
      <c r="J7" s="60" t="s">
        <v>247</v>
      </c>
      <c r="K7" s="49" t="s">
        <v>178</v>
      </c>
      <c r="L7" s="72">
        <f t="shared" si="1"/>
        <v>790969</v>
      </c>
      <c r="M7" s="72">
        <v>30497</v>
      </c>
      <c r="N7" s="72">
        <v>760472</v>
      </c>
      <c r="O7" s="72">
        <f t="shared" si="2"/>
        <v>790969</v>
      </c>
      <c r="P7" s="72">
        <v>30497</v>
      </c>
      <c r="Q7" s="72">
        <v>760472</v>
      </c>
      <c r="R7" s="100">
        <f t="shared" si="3"/>
        <v>790969</v>
      </c>
      <c r="S7" s="100">
        <v>30497</v>
      </c>
      <c r="T7" s="100">
        <v>760472</v>
      </c>
    </row>
    <row r="8" spans="1:20" s="21" customFormat="1" ht="16.5" customHeight="1">
      <c r="A8" s="22" t="s">
        <v>53</v>
      </c>
      <c r="B8" s="68">
        <f t="shared" ref="B8:B18" si="5">SUM(C8:D8)</f>
        <v>124</v>
      </c>
      <c r="C8" s="69">
        <v>116</v>
      </c>
      <c r="D8" s="69">
        <v>8</v>
      </c>
      <c r="E8" s="68">
        <f t="shared" si="0"/>
        <v>140</v>
      </c>
      <c r="F8" s="69">
        <v>127</v>
      </c>
      <c r="G8" s="69">
        <v>13</v>
      </c>
      <c r="H8" s="68">
        <f t="shared" si="4"/>
        <v>160</v>
      </c>
      <c r="I8" s="68">
        <v>146</v>
      </c>
      <c r="J8" s="68">
        <v>14</v>
      </c>
      <c r="K8" s="22" t="s">
        <v>53</v>
      </c>
      <c r="L8" s="72">
        <f t="shared" si="1"/>
        <v>669023</v>
      </c>
      <c r="M8" s="73">
        <v>8481</v>
      </c>
      <c r="N8" s="73">
        <f>518820+141722</f>
        <v>660542</v>
      </c>
      <c r="O8" s="72">
        <f t="shared" si="2"/>
        <v>687039</v>
      </c>
      <c r="P8" s="73">
        <v>6336</v>
      </c>
      <c r="Q8" s="73">
        <f>541108+139595</f>
        <v>680703</v>
      </c>
      <c r="R8" s="100">
        <f t="shared" si="3"/>
        <v>832512</v>
      </c>
      <c r="S8" s="68">
        <v>12214</v>
      </c>
      <c r="T8" s="68">
        <f>680703+139595</f>
        <v>820298</v>
      </c>
    </row>
    <row r="9" spans="1:20" s="21" customFormat="1" ht="16.5" customHeight="1">
      <c r="A9" s="22" t="s">
        <v>44</v>
      </c>
      <c r="B9" s="68">
        <f t="shared" si="5"/>
        <v>47</v>
      </c>
      <c r="C9" s="69">
        <v>45</v>
      </c>
      <c r="D9" s="69">
        <v>2</v>
      </c>
      <c r="E9" s="68">
        <f t="shared" si="0"/>
        <v>22</v>
      </c>
      <c r="F9" s="69">
        <v>21</v>
      </c>
      <c r="G9" s="69">
        <v>1</v>
      </c>
      <c r="H9" s="68">
        <f t="shared" si="4"/>
        <v>38</v>
      </c>
      <c r="I9" s="68">
        <v>32</v>
      </c>
      <c r="J9" s="68">
        <v>6</v>
      </c>
      <c r="K9" s="22" t="s">
        <v>44</v>
      </c>
      <c r="L9" s="72">
        <f t="shared" si="1"/>
        <v>451915</v>
      </c>
      <c r="M9" s="73">
        <v>10471</v>
      </c>
      <c r="N9" s="73">
        <v>441444</v>
      </c>
      <c r="O9" s="72">
        <f t="shared" si="2"/>
        <v>361908</v>
      </c>
      <c r="P9" s="73">
        <v>4643</v>
      </c>
      <c r="Q9" s="73">
        <v>357265</v>
      </c>
      <c r="R9" s="100">
        <f t="shared" si="3"/>
        <v>372360</v>
      </c>
      <c r="S9" s="68">
        <v>13812</v>
      </c>
      <c r="T9" s="68">
        <v>358548</v>
      </c>
    </row>
    <row r="10" spans="1:20" s="21" customFormat="1" ht="16.5" customHeight="1">
      <c r="A10" s="22" t="s">
        <v>80</v>
      </c>
      <c r="B10" s="68">
        <f t="shared" si="5"/>
        <v>23</v>
      </c>
      <c r="C10" s="69">
        <v>22</v>
      </c>
      <c r="D10" s="69">
        <v>1</v>
      </c>
      <c r="E10" s="68">
        <f t="shared" si="0"/>
        <v>117</v>
      </c>
      <c r="F10" s="69">
        <v>111</v>
      </c>
      <c r="G10" s="69">
        <v>6</v>
      </c>
      <c r="H10" s="68">
        <f t="shared" si="4"/>
        <v>173</v>
      </c>
      <c r="I10" s="68">
        <v>164</v>
      </c>
      <c r="J10" s="68">
        <v>9</v>
      </c>
      <c r="K10" s="22" t="s">
        <v>80</v>
      </c>
      <c r="L10" s="72">
        <f t="shared" si="1"/>
        <v>831987</v>
      </c>
      <c r="M10" s="73">
        <v>17057</v>
      </c>
      <c r="N10" s="73">
        <v>814930</v>
      </c>
      <c r="O10" s="72">
        <f t="shared" si="2"/>
        <v>735453</v>
      </c>
      <c r="P10" s="73">
        <v>26439</v>
      </c>
      <c r="Q10" s="73">
        <v>709014</v>
      </c>
      <c r="R10" s="100">
        <f t="shared" si="3"/>
        <v>732662</v>
      </c>
      <c r="S10" s="68">
        <v>23648</v>
      </c>
      <c r="T10" s="68">
        <v>709014</v>
      </c>
    </row>
    <row r="11" spans="1:20" s="21" customFormat="1" ht="16.5" customHeight="1">
      <c r="A11" s="22" t="s">
        <v>17</v>
      </c>
      <c r="B11" s="68">
        <f t="shared" si="5"/>
        <v>63</v>
      </c>
      <c r="C11" s="69">
        <v>61</v>
      </c>
      <c r="D11" s="69">
        <v>2</v>
      </c>
      <c r="E11" s="68">
        <f t="shared" si="0"/>
        <v>143</v>
      </c>
      <c r="F11" s="69">
        <v>127</v>
      </c>
      <c r="G11" s="69">
        <v>16</v>
      </c>
      <c r="H11" s="68">
        <f t="shared" si="4"/>
        <v>171</v>
      </c>
      <c r="I11" s="68">
        <v>146</v>
      </c>
      <c r="J11" s="68">
        <v>25</v>
      </c>
      <c r="K11" s="22" t="s">
        <v>17</v>
      </c>
      <c r="L11" s="72">
        <f t="shared" si="1"/>
        <v>1947623</v>
      </c>
      <c r="M11" s="73">
        <v>11280</v>
      </c>
      <c r="N11" s="73">
        <v>1936343</v>
      </c>
      <c r="O11" s="72">
        <f t="shared" si="2"/>
        <v>1353307</v>
      </c>
      <c r="P11" s="73">
        <v>23902</v>
      </c>
      <c r="Q11" s="73">
        <v>1329405</v>
      </c>
      <c r="R11" s="100">
        <f t="shared" si="3"/>
        <v>1413994</v>
      </c>
      <c r="S11" s="68">
        <v>15083</v>
      </c>
      <c r="T11" s="68">
        <v>1398911</v>
      </c>
    </row>
    <row r="12" spans="1:20" s="21" customFormat="1" ht="16.5" customHeight="1">
      <c r="A12" s="22" t="s">
        <v>93</v>
      </c>
      <c r="B12" s="68" t="s">
        <v>247</v>
      </c>
      <c r="C12" s="68" t="s">
        <v>247</v>
      </c>
      <c r="D12" s="68" t="s">
        <v>247</v>
      </c>
      <c r="E12" s="68" t="s">
        <v>247</v>
      </c>
      <c r="F12" s="68" t="s">
        <v>247</v>
      </c>
      <c r="G12" s="68" t="s">
        <v>247</v>
      </c>
      <c r="H12" s="68">
        <f t="shared" si="4"/>
        <v>16</v>
      </c>
      <c r="I12" s="68">
        <v>14</v>
      </c>
      <c r="J12" s="68">
        <v>2</v>
      </c>
      <c r="K12" s="22" t="s">
        <v>93</v>
      </c>
      <c r="L12" s="72">
        <f t="shared" si="1"/>
        <v>636548</v>
      </c>
      <c r="M12" s="73">
        <v>19481</v>
      </c>
      <c r="N12" s="73">
        <v>617067</v>
      </c>
      <c r="O12" s="72">
        <f t="shared" si="2"/>
        <v>554294</v>
      </c>
      <c r="P12" s="73">
        <v>32285</v>
      </c>
      <c r="Q12" s="73">
        <v>522009</v>
      </c>
      <c r="R12" s="100">
        <f t="shared" si="3"/>
        <v>549224</v>
      </c>
      <c r="S12" s="68">
        <v>27215</v>
      </c>
      <c r="T12" s="68">
        <v>522009</v>
      </c>
    </row>
    <row r="13" spans="1:20" s="21" customFormat="1" ht="16.5" customHeight="1">
      <c r="A13" s="22" t="s">
        <v>57</v>
      </c>
      <c r="B13" s="68">
        <f t="shared" si="5"/>
        <v>99</v>
      </c>
      <c r="C13" s="69">
        <v>91</v>
      </c>
      <c r="D13" s="69">
        <v>8</v>
      </c>
      <c r="E13" s="68">
        <f t="shared" si="0"/>
        <v>127</v>
      </c>
      <c r="F13" s="69">
        <v>115</v>
      </c>
      <c r="G13" s="69">
        <v>12</v>
      </c>
      <c r="H13" s="68">
        <f t="shared" si="4"/>
        <v>118</v>
      </c>
      <c r="I13" s="68">
        <v>107</v>
      </c>
      <c r="J13" s="68">
        <v>11</v>
      </c>
      <c r="K13" s="22" t="s">
        <v>57</v>
      </c>
      <c r="L13" s="72">
        <f t="shared" si="1"/>
        <v>861619</v>
      </c>
      <c r="M13" s="73">
        <f>5205+35</f>
        <v>5240</v>
      </c>
      <c r="N13" s="73">
        <f>804247+52132</f>
        <v>856379</v>
      </c>
      <c r="O13" s="72">
        <f t="shared" si="2"/>
        <v>886907</v>
      </c>
      <c r="P13" s="73">
        <f>30562+36</f>
        <v>30598</v>
      </c>
      <c r="Q13" s="73">
        <f>795753+60556</f>
        <v>856309</v>
      </c>
      <c r="R13" s="100">
        <f t="shared" si="3"/>
        <v>923273</v>
      </c>
      <c r="S13" s="68">
        <f>6372+36</f>
        <v>6408</v>
      </c>
      <c r="T13" s="68">
        <f>856309+60556</f>
        <v>916865</v>
      </c>
    </row>
    <row r="14" spans="1:20" s="21" customFormat="1" ht="16.5" customHeight="1">
      <c r="A14" s="4" t="s">
        <v>153</v>
      </c>
      <c r="B14" s="68">
        <f t="shared" si="5"/>
        <v>54</v>
      </c>
      <c r="C14" s="69">
        <v>48</v>
      </c>
      <c r="D14" s="69">
        <v>6</v>
      </c>
      <c r="E14" s="68">
        <f t="shared" si="0"/>
        <v>98</v>
      </c>
      <c r="F14" s="69">
        <v>93</v>
      </c>
      <c r="G14" s="69">
        <v>5</v>
      </c>
      <c r="H14" s="68">
        <f t="shared" si="4"/>
        <v>187</v>
      </c>
      <c r="I14" s="68">
        <v>172</v>
      </c>
      <c r="J14" s="68">
        <v>15</v>
      </c>
      <c r="K14" s="4" t="s">
        <v>153</v>
      </c>
      <c r="L14" s="72">
        <f t="shared" si="1"/>
        <v>1254525</v>
      </c>
      <c r="M14" s="73">
        <v>10869</v>
      </c>
      <c r="N14" s="73">
        <v>1243656</v>
      </c>
      <c r="O14" s="72">
        <f t="shared" si="2"/>
        <v>1196181</v>
      </c>
      <c r="P14" s="73">
        <v>13812</v>
      </c>
      <c r="Q14" s="73">
        <v>1182369</v>
      </c>
      <c r="R14" s="100">
        <f t="shared" si="3"/>
        <v>1207016</v>
      </c>
      <c r="S14" s="68">
        <v>24221</v>
      </c>
      <c r="T14" s="68">
        <v>1182795</v>
      </c>
    </row>
    <row r="15" spans="1:20" s="21" customFormat="1" ht="16.5" customHeight="1">
      <c r="A15" s="4" t="s">
        <v>154</v>
      </c>
      <c r="B15" s="68">
        <f t="shared" si="5"/>
        <v>19</v>
      </c>
      <c r="C15" s="69">
        <v>18</v>
      </c>
      <c r="D15" s="69">
        <v>1</v>
      </c>
      <c r="E15" s="68">
        <f t="shared" si="0"/>
        <v>46</v>
      </c>
      <c r="F15" s="69">
        <v>44</v>
      </c>
      <c r="G15" s="69">
        <v>2</v>
      </c>
      <c r="H15" s="68">
        <f t="shared" si="4"/>
        <v>40</v>
      </c>
      <c r="I15" s="68">
        <v>37</v>
      </c>
      <c r="J15" s="68">
        <v>3</v>
      </c>
      <c r="K15" s="4" t="s">
        <v>154</v>
      </c>
      <c r="L15" s="72">
        <f t="shared" si="1"/>
        <v>753797</v>
      </c>
      <c r="M15" s="73">
        <v>3569</v>
      </c>
      <c r="N15" s="73">
        <v>750228</v>
      </c>
      <c r="O15" s="72">
        <f t="shared" si="2"/>
        <v>683424</v>
      </c>
      <c r="P15" s="73">
        <v>10318</v>
      </c>
      <c r="Q15" s="73">
        <v>673106</v>
      </c>
      <c r="R15" s="100">
        <f t="shared" si="3"/>
        <v>699138</v>
      </c>
      <c r="S15" s="68">
        <v>6343</v>
      </c>
      <c r="T15" s="68">
        <v>692795</v>
      </c>
    </row>
    <row r="16" spans="1:20" s="21" customFormat="1" ht="16.5" customHeight="1">
      <c r="A16" s="22" t="s">
        <v>28</v>
      </c>
      <c r="B16" s="68">
        <f t="shared" si="5"/>
        <v>28</v>
      </c>
      <c r="C16" s="69">
        <v>23</v>
      </c>
      <c r="D16" s="69">
        <v>5</v>
      </c>
      <c r="E16" s="68">
        <f t="shared" si="0"/>
        <v>39</v>
      </c>
      <c r="F16" s="69">
        <v>36</v>
      </c>
      <c r="G16" s="69">
        <v>3</v>
      </c>
      <c r="H16" s="68">
        <f t="shared" si="4"/>
        <v>25</v>
      </c>
      <c r="I16" s="68">
        <v>23</v>
      </c>
      <c r="J16" s="68">
        <v>2</v>
      </c>
      <c r="K16" s="22" t="s">
        <v>28</v>
      </c>
      <c r="L16" s="72">
        <f t="shared" si="1"/>
        <v>526364</v>
      </c>
      <c r="M16" s="73">
        <v>2513</v>
      </c>
      <c r="N16" s="73">
        <v>523851</v>
      </c>
      <c r="O16" s="72">
        <f t="shared" si="2"/>
        <v>612589</v>
      </c>
      <c r="P16" s="73">
        <v>30538</v>
      </c>
      <c r="Q16" s="73">
        <v>582051</v>
      </c>
      <c r="R16" s="100">
        <f t="shared" si="3"/>
        <v>586173</v>
      </c>
      <c r="S16" s="68">
        <v>4122</v>
      </c>
      <c r="T16" s="68">
        <v>582051</v>
      </c>
    </row>
    <row r="17" spans="1:20" s="21" customFormat="1" ht="16.5" customHeight="1">
      <c r="A17" s="22" t="s">
        <v>36</v>
      </c>
      <c r="B17" s="68">
        <f t="shared" si="5"/>
        <v>284</v>
      </c>
      <c r="C17" s="69">
        <v>250</v>
      </c>
      <c r="D17" s="69">
        <v>34</v>
      </c>
      <c r="E17" s="68">
        <f t="shared" si="0"/>
        <v>294</v>
      </c>
      <c r="F17" s="69">
        <v>252</v>
      </c>
      <c r="G17" s="69">
        <v>42</v>
      </c>
      <c r="H17" s="68">
        <f t="shared" si="4"/>
        <v>253</v>
      </c>
      <c r="I17" s="68">
        <v>221</v>
      </c>
      <c r="J17" s="68">
        <v>32</v>
      </c>
      <c r="K17" s="22" t="s">
        <v>36</v>
      </c>
      <c r="L17" s="72">
        <f t="shared" si="1"/>
        <v>1418903</v>
      </c>
      <c r="M17" s="73">
        <v>23721</v>
      </c>
      <c r="N17" s="73">
        <v>1395182</v>
      </c>
      <c r="O17" s="72">
        <f t="shared" si="2"/>
        <v>1399332</v>
      </c>
      <c r="P17" s="73">
        <v>4122</v>
      </c>
      <c r="Q17" s="73">
        <v>1395210</v>
      </c>
      <c r="R17" s="100">
        <f t="shared" si="3"/>
        <v>1427495</v>
      </c>
      <c r="S17" s="68">
        <v>32285</v>
      </c>
      <c r="T17" s="68">
        <v>1395210</v>
      </c>
    </row>
    <row r="18" spans="1:20" s="21" customFormat="1" ht="16.5" customHeight="1">
      <c r="A18" s="22" t="s">
        <v>30</v>
      </c>
      <c r="B18" s="68">
        <f t="shared" si="5"/>
        <v>7</v>
      </c>
      <c r="C18" s="69">
        <v>5</v>
      </c>
      <c r="D18" s="69">
        <v>2</v>
      </c>
      <c r="E18" s="68">
        <f t="shared" si="0"/>
        <v>32</v>
      </c>
      <c r="F18" s="69">
        <v>28</v>
      </c>
      <c r="G18" s="69">
        <v>4</v>
      </c>
      <c r="H18" s="68">
        <f t="shared" si="4"/>
        <v>36</v>
      </c>
      <c r="I18" s="68">
        <v>31</v>
      </c>
      <c r="J18" s="68">
        <v>5</v>
      </c>
      <c r="K18" s="22" t="s">
        <v>30</v>
      </c>
      <c r="L18" s="72">
        <f t="shared" si="1"/>
        <v>780554</v>
      </c>
      <c r="M18" s="73">
        <v>7703</v>
      </c>
      <c r="N18" s="73">
        <v>772851</v>
      </c>
      <c r="O18" s="72">
        <f t="shared" si="2"/>
        <v>585035</v>
      </c>
      <c r="P18" s="73">
        <v>23648</v>
      </c>
      <c r="Q18" s="73">
        <v>561387</v>
      </c>
      <c r="R18" s="100">
        <f t="shared" si="3"/>
        <v>605977</v>
      </c>
      <c r="S18" s="68">
        <v>11745</v>
      </c>
      <c r="T18" s="68">
        <v>594232</v>
      </c>
    </row>
    <row r="19" spans="1:20" s="21" customFormat="1" ht="16.5" customHeight="1">
      <c r="A19" s="49" t="s">
        <v>179</v>
      </c>
      <c r="B19" s="59" t="s">
        <v>247</v>
      </c>
      <c r="C19" s="59" t="s">
        <v>247</v>
      </c>
      <c r="D19" s="59" t="s">
        <v>247</v>
      </c>
      <c r="E19" s="68">
        <f t="shared" si="0"/>
        <v>3</v>
      </c>
      <c r="F19" s="63">
        <v>3</v>
      </c>
      <c r="G19" s="63" t="s">
        <v>247</v>
      </c>
      <c r="H19" s="68">
        <f t="shared" si="4"/>
        <v>23</v>
      </c>
      <c r="I19" s="60">
        <v>23</v>
      </c>
      <c r="J19" s="60" t="s">
        <v>247</v>
      </c>
      <c r="K19" s="49" t="s">
        <v>179</v>
      </c>
      <c r="L19" s="72">
        <f t="shared" si="1"/>
        <v>646938</v>
      </c>
      <c r="M19" s="72">
        <v>30894</v>
      </c>
      <c r="N19" s="72">
        <v>616044</v>
      </c>
      <c r="O19" s="72">
        <f t="shared" si="2"/>
        <v>649960</v>
      </c>
      <c r="P19" s="72">
        <v>6435</v>
      </c>
      <c r="Q19" s="72">
        <v>643525</v>
      </c>
      <c r="R19" s="100">
        <f t="shared" si="3"/>
        <v>655780</v>
      </c>
      <c r="S19" s="100">
        <v>6435</v>
      </c>
      <c r="T19" s="100">
        <v>649345</v>
      </c>
    </row>
    <row r="20" spans="1:20" s="21" customFormat="1" ht="16.5" customHeight="1">
      <c r="A20" s="22" t="s">
        <v>26</v>
      </c>
      <c r="B20" s="68">
        <f>SUM(C20:D20)</f>
        <v>54</v>
      </c>
      <c r="C20" s="69">
        <v>46</v>
      </c>
      <c r="D20" s="69">
        <v>8</v>
      </c>
      <c r="E20" s="68">
        <f t="shared" si="0"/>
        <v>115</v>
      </c>
      <c r="F20" s="69">
        <v>105</v>
      </c>
      <c r="G20" s="69">
        <v>10</v>
      </c>
      <c r="H20" s="68">
        <f t="shared" si="4"/>
        <v>78</v>
      </c>
      <c r="I20" s="68">
        <v>66</v>
      </c>
      <c r="J20" s="68">
        <v>12</v>
      </c>
      <c r="K20" s="22" t="s">
        <v>26</v>
      </c>
      <c r="L20" s="72">
        <f t="shared" si="1"/>
        <v>1251623</v>
      </c>
      <c r="M20" s="73">
        <v>17128</v>
      </c>
      <c r="N20" s="73">
        <f>1118375+116120</f>
        <v>1234495</v>
      </c>
      <c r="O20" s="72">
        <f t="shared" si="2"/>
        <v>993869</v>
      </c>
      <c r="P20" s="73">
        <v>27215</v>
      </c>
      <c r="Q20" s="73">
        <f>860545+106109</f>
        <v>966654</v>
      </c>
      <c r="R20" s="100">
        <f t="shared" si="3"/>
        <v>1103931</v>
      </c>
      <c r="S20" s="68">
        <v>30538</v>
      </c>
      <c r="T20" s="68">
        <f>966969+106424</f>
        <v>1073393</v>
      </c>
    </row>
    <row r="21" spans="1:20" s="21" customFormat="1" ht="16.5" customHeight="1">
      <c r="A21" s="22" t="s">
        <v>92</v>
      </c>
      <c r="B21" s="69" t="s">
        <v>247</v>
      </c>
      <c r="C21" s="69" t="s">
        <v>247</v>
      </c>
      <c r="D21" s="69" t="s">
        <v>247</v>
      </c>
      <c r="E21" s="68">
        <f t="shared" si="0"/>
        <v>6</v>
      </c>
      <c r="F21" s="69">
        <v>6</v>
      </c>
      <c r="G21" s="69" t="s">
        <v>247</v>
      </c>
      <c r="H21" s="68">
        <f t="shared" si="4"/>
        <v>6</v>
      </c>
      <c r="I21" s="68">
        <v>5</v>
      </c>
      <c r="J21" s="68">
        <v>1</v>
      </c>
      <c r="K21" s="22" t="s">
        <v>92</v>
      </c>
      <c r="L21" s="72">
        <f>SUM(M21,N21)</f>
        <v>103489</v>
      </c>
      <c r="M21" s="73" t="s">
        <v>247</v>
      </c>
      <c r="N21" s="73">
        <v>103489</v>
      </c>
      <c r="O21" s="72">
        <f t="shared" si="2"/>
        <v>166282</v>
      </c>
      <c r="P21" s="73">
        <v>24221</v>
      </c>
      <c r="Q21" s="73">
        <v>142061</v>
      </c>
      <c r="R21" s="68" t="s">
        <v>247</v>
      </c>
      <c r="S21" s="68" t="s">
        <v>247</v>
      </c>
      <c r="T21" s="68" t="s">
        <v>247</v>
      </c>
    </row>
    <row r="22" spans="1:20" s="21" customFormat="1" ht="16.5" customHeight="1">
      <c r="A22" s="49" t="s">
        <v>180</v>
      </c>
      <c r="B22" s="59" t="s">
        <v>247</v>
      </c>
      <c r="C22" s="59" t="s">
        <v>247</v>
      </c>
      <c r="D22" s="59" t="s">
        <v>247</v>
      </c>
      <c r="E22" s="68">
        <f t="shared" si="0"/>
        <v>2</v>
      </c>
      <c r="F22" s="63">
        <v>1</v>
      </c>
      <c r="G22" s="63">
        <v>1</v>
      </c>
      <c r="H22" s="68">
        <f t="shared" si="4"/>
        <v>1</v>
      </c>
      <c r="I22" s="60">
        <v>1</v>
      </c>
      <c r="J22" s="60" t="s">
        <v>247</v>
      </c>
      <c r="K22" s="49" t="s">
        <v>180</v>
      </c>
      <c r="L22" s="72">
        <f t="shared" si="1"/>
        <v>529888</v>
      </c>
      <c r="M22" s="72">
        <v>9004</v>
      </c>
      <c r="N22" s="72">
        <v>520884</v>
      </c>
      <c r="O22" s="72">
        <f t="shared" si="2"/>
        <v>658156</v>
      </c>
      <c r="P22" s="72">
        <v>13781</v>
      </c>
      <c r="Q22" s="72">
        <v>644375</v>
      </c>
      <c r="R22" s="100">
        <f t="shared" si="3"/>
        <v>658156</v>
      </c>
      <c r="S22" s="100">
        <v>13781</v>
      </c>
      <c r="T22" s="100">
        <v>644375</v>
      </c>
    </row>
    <row r="23" spans="1:20" s="21" customFormat="1" ht="16.5" customHeight="1">
      <c r="A23" s="22" t="s">
        <v>55</v>
      </c>
      <c r="B23" s="68">
        <f>SUM(C23:D23)</f>
        <v>47</v>
      </c>
      <c r="C23" s="69">
        <v>44</v>
      </c>
      <c r="D23" s="69">
        <v>3</v>
      </c>
      <c r="E23" s="68">
        <f t="shared" si="0"/>
        <v>39</v>
      </c>
      <c r="F23" s="69">
        <v>37</v>
      </c>
      <c r="G23" s="69">
        <v>2</v>
      </c>
      <c r="H23" s="68">
        <f t="shared" si="4"/>
        <v>35</v>
      </c>
      <c r="I23" s="68">
        <v>34</v>
      </c>
      <c r="J23" s="68">
        <v>1</v>
      </c>
      <c r="K23" s="22" t="s">
        <v>55</v>
      </c>
      <c r="L23" s="72">
        <f t="shared" si="1"/>
        <v>774195</v>
      </c>
      <c r="M23" s="73">
        <v>2896</v>
      </c>
      <c r="N23" s="73">
        <f>716896+54403</f>
        <v>771299</v>
      </c>
      <c r="O23" s="72">
        <f t="shared" si="2"/>
        <v>683492</v>
      </c>
      <c r="P23" s="73">
        <v>20548</v>
      </c>
      <c r="Q23" s="73">
        <f>613511+49433</f>
        <v>662944</v>
      </c>
      <c r="R23" s="100">
        <f t="shared" si="3"/>
        <v>717020</v>
      </c>
      <c r="S23" s="68">
        <v>4643</v>
      </c>
      <c r="T23" s="68">
        <f>662944+49433</f>
        <v>712377</v>
      </c>
    </row>
    <row r="24" spans="1:20" s="21" customFormat="1" ht="16.5" customHeight="1">
      <c r="A24" s="22" t="s">
        <v>95</v>
      </c>
      <c r="B24" s="69" t="s">
        <v>247</v>
      </c>
      <c r="C24" s="69" t="s">
        <v>247</v>
      </c>
      <c r="D24" s="69" t="s">
        <v>247</v>
      </c>
      <c r="E24" s="68">
        <f t="shared" si="0"/>
        <v>45</v>
      </c>
      <c r="F24" s="69">
        <v>40</v>
      </c>
      <c r="G24" s="69">
        <v>5</v>
      </c>
      <c r="H24" s="68">
        <f t="shared" si="4"/>
        <v>116</v>
      </c>
      <c r="I24" s="68">
        <v>99</v>
      </c>
      <c r="J24" s="68">
        <v>17</v>
      </c>
      <c r="K24" s="22" t="s">
        <v>95</v>
      </c>
      <c r="L24" s="72">
        <f t="shared" si="1"/>
        <v>1405908</v>
      </c>
      <c r="M24" s="73">
        <v>13565</v>
      </c>
      <c r="N24" s="73">
        <v>1392343</v>
      </c>
      <c r="O24" s="72">
        <f t="shared" si="2"/>
        <v>1291040</v>
      </c>
      <c r="P24" s="73">
        <v>178166</v>
      </c>
      <c r="Q24" s="73">
        <v>1112874</v>
      </c>
      <c r="R24" s="100">
        <f t="shared" si="3"/>
        <v>1133422</v>
      </c>
      <c r="S24" s="68">
        <v>20548</v>
      </c>
      <c r="T24" s="68">
        <v>1112874</v>
      </c>
    </row>
    <row r="25" spans="1:20" s="21" customFormat="1" ht="16.5" customHeight="1">
      <c r="A25" s="22" t="s">
        <v>39</v>
      </c>
      <c r="B25" s="68">
        <f>SUM(C25:D25)</f>
        <v>287</v>
      </c>
      <c r="C25" s="69">
        <v>261</v>
      </c>
      <c r="D25" s="69">
        <v>26</v>
      </c>
      <c r="E25" s="68">
        <f t="shared" si="0"/>
        <v>302</v>
      </c>
      <c r="F25" s="69">
        <v>272</v>
      </c>
      <c r="G25" s="69">
        <v>30</v>
      </c>
      <c r="H25" s="68">
        <f t="shared" si="4"/>
        <v>284</v>
      </c>
      <c r="I25" s="68">
        <v>248</v>
      </c>
      <c r="J25" s="68">
        <v>36</v>
      </c>
      <c r="K25" s="22" t="s">
        <v>39</v>
      </c>
      <c r="L25" s="72">
        <f t="shared" si="1"/>
        <v>1910019</v>
      </c>
      <c r="M25" s="73">
        <v>23594</v>
      </c>
      <c r="N25" s="73">
        <v>1886425</v>
      </c>
      <c r="O25" s="72">
        <f t="shared" si="2"/>
        <v>1627198</v>
      </c>
      <c r="P25" s="73">
        <v>6343</v>
      </c>
      <c r="Q25" s="73">
        <v>1620855</v>
      </c>
      <c r="R25" s="100">
        <f t="shared" si="3"/>
        <v>1651417</v>
      </c>
      <c r="S25" s="68">
        <v>30562</v>
      </c>
      <c r="T25" s="68">
        <v>1620855</v>
      </c>
    </row>
    <row r="26" spans="1:20" s="21" customFormat="1" ht="16.5" customHeight="1">
      <c r="A26" s="22" t="s">
        <v>20</v>
      </c>
      <c r="B26" s="68">
        <f>SUM(C26:D26)</f>
        <v>356</v>
      </c>
      <c r="C26" s="69">
        <v>333</v>
      </c>
      <c r="D26" s="69">
        <v>23</v>
      </c>
      <c r="E26" s="68">
        <f t="shared" si="0"/>
        <v>379</v>
      </c>
      <c r="F26" s="69">
        <v>38</v>
      </c>
      <c r="G26" s="69">
        <v>341</v>
      </c>
      <c r="H26" s="68">
        <f t="shared" si="4"/>
        <v>336</v>
      </c>
      <c r="I26" s="68">
        <v>287</v>
      </c>
      <c r="J26" s="68">
        <v>49</v>
      </c>
      <c r="K26" s="22" t="s">
        <v>20</v>
      </c>
      <c r="L26" s="72">
        <f t="shared" si="1"/>
        <v>1666980</v>
      </c>
      <c r="M26" s="73">
        <v>29980</v>
      </c>
      <c r="N26" s="73">
        <v>1637000</v>
      </c>
      <c r="O26" s="72">
        <f t="shared" si="2"/>
        <v>1414277</v>
      </c>
      <c r="P26" s="73">
        <v>11907</v>
      </c>
      <c r="Q26" s="73">
        <v>1402370</v>
      </c>
      <c r="R26" s="100">
        <f t="shared" si="3"/>
        <v>1441640</v>
      </c>
      <c r="S26" s="68">
        <v>39270</v>
      </c>
      <c r="T26" s="68">
        <v>1402370</v>
      </c>
    </row>
    <row r="27" spans="1:20" s="21" customFormat="1" ht="16.5" customHeight="1">
      <c r="A27" s="49" t="s">
        <v>181</v>
      </c>
      <c r="B27" s="59" t="s">
        <v>247</v>
      </c>
      <c r="C27" s="59" t="s">
        <v>247</v>
      </c>
      <c r="D27" s="59" t="s">
        <v>247</v>
      </c>
      <c r="E27" s="59" t="s">
        <v>247</v>
      </c>
      <c r="F27" s="59" t="s">
        <v>247</v>
      </c>
      <c r="G27" s="59" t="s">
        <v>247</v>
      </c>
      <c r="H27" s="59" t="s">
        <v>247</v>
      </c>
      <c r="I27" s="59" t="s">
        <v>247</v>
      </c>
      <c r="J27" s="60" t="s">
        <v>247</v>
      </c>
      <c r="K27" s="49" t="s">
        <v>181</v>
      </c>
      <c r="L27" s="72">
        <f t="shared" si="1"/>
        <v>264977</v>
      </c>
      <c r="M27" s="72">
        <v>5245</v>
      </c>
      <c r="N27" s="72">
        <v>259732</v>
      </c>
      <c r="O27" s="72">
        <f t="shared" si="2"/>
        <v>344217</v>
      </c>
      <c r="P27" s="72">
        <v>2851</v>
      </c>
      <c r="Q27" s="72">
        <v>341366</v>
      </c>
      <c r="R27" s="100">
        <f t="shared" si="3"/>
        <v>337061</v>
      </c>
      <c r="S27" s="100">
        <v>2851</v>
      </c>
      <c r="T27" s="100">
        <v>334210</v>
      </c>
    </row>
    <row r="28" spans="1:20" s="21" customFormat="1" ht="16.5" customHeight="1">
      <c r="A28" s="49" t="s">
        <v>183</v>
      </c>
      <c r="B28" s="59" t="s">
        <v>247</v>
      </c>
      <c r="C28" s="59" t="s">
        <v>247</v>
      </c>
      <c r="D28" s="59" t="s">
        <v>247</v>
      </c>
      <c r="E28" s="59" t="s">
        <v>247</v>
      </c>
      <c r="F28" s="59" t="s">
        <v>247</v>
      </c>
      <c r="G28" s="59" t="s">
        <v>247</v>
      </c>
      <c r="H28" s="59" t="s">
        <v>247</v>
      </c>
      <c r="I28" s="59" t="s">
        <v>247</v>
      </c>
      <c r="J28" s="60" t="s">
        <v>247</v>
      </c>
      <c r="K28" s="49" t="s">
        <v>183</v>
      </c>
      <c r="L28" s="72">
        <f t="shared" si="1"/>
        <v>329654</v>
      </c>
      <c r="M28" s="72">
        <v>2105</v>
      </c>
      <c r="N28" s="72">
        <v>327549</v>
      </c>
      <c r="O28" s="72">
        <f t="shared" si="2"/>
        <v>1252321</v>
      </c>
      <c r="P28" s="72">
        <v>4074</v>
      </c>
      <c r="Q28" s="72">
        <v>1248247</v>
      </c>
      <c r="R28" s="100">
        <f t="shared" si="3"/>
        <v>1251861</v>
      </c>
      <c r="S28" s="100">
        <v>4099</v>
      </c>
      <c r="T28" s="100">
        <v>1247762</v>
      </c>
    </row>
    <row r="29" spans="1:20" s="21" customFormat="1" ht="16.5" customHeight="1">
      <c r="A29" s="22" t="s">
        <v>15</v>
      </c>
      <c r="B29" s="68">
        <f>SUM(C29:D29)</f>
        <v>125</v>
      </c>
      <c r="C29" s="69">
        <v>112</v>
      </c>
      <c r="D29" s="69">
        <v>13</v>
      </c>
      <c r="E29" s="68">
        <f t="shared" si="0"/>
        <v>231</v>
      </c>
      <c r="F29" s="69">
        <v>199</v>
      </c>
      <c r="G29" s="69">
        <v>32</v>
      </c>
      <c r="H29" s="68">
        <f t="shared" si="4"/>
        <v>189</v>
      </c>
      <c r="I29" s="68">
        <v>165</v>
      </c>
      <c r="J29" s="68">
        <v>24</v>
      </c>
      <c r="K29" s="22" t="s">
        <v>15</v>
      </c>
      <c r="L29" s="72">
        <f t="shared" si="1"/>
        <v>1399210</v>
      </c>
      <c r="M29" s="73">
        <v>17786</v>
      </c>
      <c r="N29" s="73">
        <v>1381424</v>
      </c>
      <c r="O29" s="72">
        <f t="shared" si="2"/>
        <v>1614065</v>
      </c>
      <c r="P29" s="73">
        <v>39270</v>
      </c>
      <c r="Q29" s="73">
        <v>1574795</v>
      </c>
      <c r="R29" s="100">
        <f t="shared" si="3"/>
        <v>1604874</v>
      </c>
      <c r="S29" s="68">
        <v>30079</v>
      </c>
      <c r="T29" s="68">
        <v>1574795</v>
      </c>
    </row>
    <row r="30" spans="1:20" s="21" customFormat="1" ht="16.5" customHeight="1">
      <c r="A30" s="49" t="s">
        <v>182</v>
      </c>
      <c r="B30" s="59" t="s">
        <v>247</v>
      </c>
      <c r="C30" s="59" t="s">
        <v>247</v>
      </c>
      <c r="D30" s="59" t="s">
        <v>247</v>
      </c>
      <c r="E30" s="59" t="s">
        <v>247</v>
      </c>
      <c r="F30" s="59" t="s">
        <v>247</v>
      </c>
      <c r="G30" s="59" t="s">
        <v>247</v>
      </c>
      <c r="H30" s="59" t="s">
        <v>247</v>
      </c>
      <c r="I30" s="60" t="s">
        <v>247</v>
      </c>
      <c r="J30" s="60" t="s">
        <v>247</v>
      </c>
      <c r="K30" s="49" t="s">
        <v>182</v>
      </c>
      <c r="L30" s="72">
        <f t="shared" si="1"/>
        <v>214365</v>
      </c>
      <c r="M30" s="72">
        <v>171</v>
      </c>
      <c r="N30" s="72">
        <v>214194</v>
      </c>
      <c r="O30" s="72">
        <f t="shared" si="2"/>
        <v>220944</v>
      </c>
      <c r="P30" s="72">
        <v>52</v>
      </c>
      <c r="Q30" s="72">
        <v>220892</v>
      </c>
      <c r="R30" s="100">
        <f t="shared" si="3"/>
        <v>220944</v>
      </c>
      <c r="S30" s="100">
        <v>52</v>
      </c>
      <c r="T30" s="100">
        <v>220892</v>
      </c>
    </row>
    <row r="31" spans="1:20" s="149" customFormat="1" ht="16.5" customHeight="1">
      <c r="A31" s="22" t="s">
        <v>13</v>
      </c>
      <c r="B31" s="68">
        <f>SUM(C31:D31)</f>
        <v>815</v>
      </c>
      <c r="C31" s="69">
        <v>745</v>
      </c>
      <c r="D31" s="69">
        <v>70</v>
      </c>
      <c r="E31" s="68">
        <f t="shared" si="0"/>
        <v>861</v>
      </c>
      <c r="F31" s="69">
        <v>742</v>
      </c>
      <c r="G31" s="69">
        <v>119</v>
      </c>
      <c r="H31" s="68">
        <f t="shared" si="4"/>
        <v>1052</v>
      </c>
      <c r="I31" s="68">
        <v>922</v>
      </c>
      <c r="J31" s="68">
        <v>130</v>
      </c>
      <c r="K31" s="22" t="s">
        <v>13</v>
      </c>
      <c r="L31" s="72">
        <f t="shared" si="1"/>
        <v>2351854</v>
      </c>
      <c r="M31" s="73">
        <v>26667</v>
      </c>
      <c r="N31" s="73">
        <f>2242874+82313</f>
        <v>2325187</v>
      </c>
      <c r="O31" s="72">
        <f t="shared" si="2"/>
        <v>2044751</v>
      </c>
      <c r="P31" s="73">
        <v>20046</v>
      </c>
      <c r="Q31" s="73">
        <f>1941685+83020</f>
        <v>2024705</v>
      </c>
      <c r="R31" s="100">
        <f t="shared" si="3"/>
        <v>2146957</v>
      </c>
      <c r="S31" s="68">
        <v>39232</v>
      </c>
      <c r="T31" s="68">
        <f>2024705+83020</f>
        <v>2107725</v>
      </c>
    </row>
    <row r="32" spans="1:20" s="2" customFormat="1" ht="16.5" customHeight="1">
      <c r="A32" s="22" t="s">
        <v>94</v>
      </c>
      <c r="B32" s="68">
        <f>SUM(C32:D32)</f>
        <v>30</v>
      </c>
      <c r="C32" s="69">
        <v>25</v>
      </c>
      <c r="D32" s="69">
        <v>5</v>
      </c>
      <c r="E32" s="68">
        <f>SUM(F32:G32)</f>
        <v>36</v>
      </c>
      <c r="F32" s="69">
        <v>32</v>
      </c>
      <c r="G32" s="69">
        <v>4</v>
      </c>
      <c r="H32" s="68">
        <f>SUM(I32:J32)</f>
        <v>52</v>
      </c>
      <c r="I32" s="68">
        <v>48</v>
      </c>
      <c r="J32" s="68">
        <v>4</v>
      </c>
      <c r="K32" s="22" t="s">
        <v>94</v>
      </c>
      <c r="L32" s="72">
        <f>SUM(M32+N32)</f>
        <v>458421</v>
      </c>
      <c r="M32" s="73">
        <v>8488</v>
      </c>
      <c r="N32" s="73">
        <v>449933</v>
      </c>
      <c r="O32" s="72">
        <f>SUM(P32+Q32)</f>
        <v>393794</v>
      </c>
      <c r="P32" s="73">
        <v>15083</v>
      </c>
      <c r="Q32" s="73">
        <v>378711</v>
      </c>
      <c r="R32" s="100">
        <f>SUM(S32+T32)</f>
        <v>408124</v>
      </c>
      <c r="S32" s="68">
        <v>11907</v>
      </c>
      <c r="T32" s="68">
        <v>396217</v>
      </c>
    </row>
    <row r="33" spans="1:20" s="149" customFormat="1" ht="16.5" customHeight="1">
      <c r="A33" s="49" t="s">
        <v>184</v>
      </c>
      <c r="B33" s="59" t="s">
        <v>247</v>
      </c>
      <c r="C33" s="59" t="s">
        <v>247</v>
      </c>
      <c r="D33" s="59" t="s">
        <v>247</v>
      </c>
      <c r="E33" s="59" t="s">
        <v>247</v>
      </c>
      <c r="F33" s="59" t="s">
        <v>247</v>
      </c>
      <c r="G33" s="59" t="s">
        <v>247</v>
      </c>
      <c r="H33" s="59" t="s">
        <v>247</v>
      </c>
      <c r="I33" s="59" t="s">
        <v>247</v>
      </c>
      <c r="J33" s="60" t="s">
        <v>247</v>
      </c>
      <c r="K33" s="49" t="s">
        <v>184</v>
      </c>
      <c r="L33" s="72">
        <f t="shared" si="1"/>
        <v>139396</v>
      </c>
      <c r="M33" s="72">
        <v>2083</v>
      </c>
      <c r="N33" s="72">
        <v>137313</v>
      </c>
      <c r="O33" s="72">
        <f t="shared" si="2"/>
        <v>141305</v>
      </c>
      <c r="P33" s="72">
        <v>1154</v>
      </c>
      <c r="Q33" s="72">
        <v>140151</v>
      </c>
      <c r="R33" s="100">
        <f t="shared" si="3"/>
        <v>141305</v>
      </c>
      <c r="S33" s="100">
        <v>1154</v>
      </c>
      <c r="T33" s="100">
        <v>140151</v>
      </c>
    </row>
    <row r="34" spans="1:20" s="2" customFormat="1" ht="16.5" customHeight="1">
      <c r="A34" s="22" t="s">
        <v>23</v>
      </c>
      <c r="B34" s="68">
        <f>SUM(C34:D34)</f>
        <v>135</v>
      </c>
      <c r="C34" s="69">
        <v>124</v>
      </c>
      <c r="D34" s="69">
        <v>11</v>
      </c>
      <c r="E34" s="68">
        <f t="shared" si="0"/>
        <v>279</v>
      </c>
      <c r="F34" s="69">
        <v>251</v>
      </c>
      <c r="G34" s="69">
        <v>28</v>
      </c>
      <c r="H34" s="68">
        <f t="shared" si="4"/>
        <v>279</v>
      </c>
      <c r="I34" s="68">
        <v>263</v>
      </c>
      <c r="J34" s="68">
        <v>16</v>
      </c>
      <c r="K34" s="22" t="s">
        <v>23</v>
      </c>
      <c r="L34" s="73">
        <f t="shared" si="1"/>
        <v>1796366</v>
      </c>
      <c r="M34" s="73">
        <v>15733</v>
      </c>
      <c r="N34" s="73">
        <v>1780633</v>
      </c>
      <c r="O34" s="72">
        <f t="shared" si="2"/>
        <v>1703211</v>
      </c>
      <c r="P34" s="73">
        <v>300079</v>
      </c>
      <c r="Q34" s="73">
        <v>1403132</v>
      </c>
      <c r="R34" s="68">
        <f t="shared" si="3"/>
        <v>1423178</v>
      </c>
      <c r="S34" s="68">
        <v>20046</v>
      </c>
      <c r="T34" s="68">
        <v>1403132</v>
      </c>
    </row>
    <row r="35" spans="1:20" s="2" customFormat="1" ht="16.5" customHeight="1">
      <c r="A35" s="22" t="s">
        <v>71</v>
      </c>
      <c r="B35" s="68">
        <f>SUM(C35:D35)</f>
        <v>103</v>
      </c>
      <c r="C35" s="69">
        <v>98</v>
      </c>
      <c r="D35" s="69">
        <v>5</v>
      </c>
      <c r="E35" s="68">
        <f t="shared" si="0"/>
        <v>389</v>
      </c>
      <c r="F35" s="69">
        <v>362</v>
      </c>
      <c r="G35" s="69">
        <v>27</v>
      </c>
      <c r="H35" s="68">
        <f t="shared" si="4"/>
        <v>547</v>
      </c>
      <c r="I35" s="68">
        <v>501</v>
      </c>
      <c r="J35" s="68">
        <v>46</v>
      </c>
      <c r="K35" s="22" t="s">
        <v>71</v>
      </c>
      <c r="L35" s="72">
        <f t="shared" si="1"/>
        <v>2817656</v>
      </c>
      <c r="M35" s="73">
        <v>130191</v>
      </c>
      <c r="N35" s="73">
        <v>2687465</v>
      </c>
      <c r="O35" s="72">
        <f t="shared" si="2"/>
        <v>2340269</v>
      </c>
      <c r="P35" s="73">
        <v>39232</v>
      </c>
      <c r="Q35" s="73">
        <v>2301037</v>
      </c>
      <c r="R35" s="100">
        <f t="shared" si="3"/>
        <v>2479203</v>
      </c>
      <c r="S35" s="68">
        <v>178166</v>
      </c>
      <c r="T35" s="68">
        <v>2301037</v>
      </c>
    </row>
    <row r="36" spans="1:20" s="2" customFormat="1" ht="16.5" customHeight="1">
      <c r="A36" s="22" t="s">
        <v>51</v>
      </c>
      <c r="B36" s="68">
        <f>SUM(C36:D36)</f>
        <v>15</v>
      </c>
      <c r="C36" s="69">
        <v>14</v>
      </c>
      <c r="D36" s="69">
        <v>1</v>
      </c>
      <c r="E36" s="68">
        <f t="shared" si="0"/>
        <v>17</v>
      </c>
      <c r="F36" s="69">
        <v>17</v>
      </c>
      <c r="G36" s="69" t="s">
        <v>247</v>
      </c>
      <c r="H36" s="69" t="s">
        <v>247</v>
      </c>
      <c r="I36" s="68" t="s">
        <v>247</v>
      </c>
      <c r="J36" s="68" t="s">
        <v>247</v>
      </c>
      <c r="K36" s="22" t="s">
        <v>51</v>
      </c>
      <c r="L36" s="72">
        <f t="shared" si="1"/>
        <v>716422</v>
      </c>
      <c r="M36" s="73">
        <v>21895</v>
      </c>
      <c r="N36" s="73">
        <f>528503+166024</f>
        <v>694527</v>
      </c>
      <c r="O36" s="72">
        <f t="shared" si="2"/>
        <v>721768</v>
      </c>
      <c r="P36" s="73">
        <v>21895</v>
      </c>
      <c r="Q36" s="73">
        <f>552341+147532</f>
        <v>699873</v>
      </c>
      <c r="R36" s="100">
        <f t="shared" si="3"/>
        <v>873844</v>
      </c>
      <c r="S36" s="68">
        <v>26439</v>
      </c>
      <c r="T36" s="68">
        <f>699873+147532</f>
        <v>847405</v>
      </c>
    </row>
    <row r="37" spans="1:20" s="2" customFormat="1" ht="16.5" customHeight="1">
      <c r="A37" s="22" t="s">
        <v>147</v>
      </c>
      <c r="B37" s="68" t="s">
        <v>247</v>
      </c>
      <c r="C37" s="68" t="s">
        <v>247</v>
      </c>
      <c r="D37" s="68" t="s">
        <v>247</v>
      </c>
      <c r="E37" s="68" t="s">
        <v>247</v>
      </c>
      <c r="F37" s="68" t="s">
        <v>247</v>
      </c>
      <c r="G37" s="68" t="s">
        <v>247</v>
      </c>
      <c r="H37" s="68" t="s">
        <v>247</v>
      </c>
      <c r="I37" s="68" t="s">
        <v>247</v>
      </c>
      <c r="J37" s="68" t="s">
        <v>247</v>
      </c>
      <c r="K37" s="22" t="s">
        <v>147</v>
      </c>
      <c r="L37" s="72">
        <f>SUM(M37,N37)</f>
        <v>46788</v>
      </c>
      <c r="M37" s="73" t="s">
        <v>247</v>
      </c>
      <c r="N37" s="73">
        <v>46788</v>
      </c>
      <c r="O37" s="72">
        <f>SUM(P37,Q37)</f>
        <v>53010</v>
      </c>
      <c r="P37" s="73" t="s">
        <v>247</v>
      </c>
      <c r="Q37" s="73">
        <v>53010</v>
      </c>
      <c r="R37" s="100">
        <f>SUM(S37,T37)</f>
        <v>53010</v>
      </c>
      <c r="S37" s="68" t="s">
        <v>247</v>
      </c>
      <c r="T37" s="68">
        <v>53010</v>
      </c>
    </row>
    <row r="38" spans="1:20" s="42" customFormat="1" ht="13.15" customHeight="1">
      <c r="A38" s="25"/>
      <c r="B38" s="57"/>
      <c r="C38" s="57"/>
      <c r="D38" s="57"/>
      <c r="E38" s="44"/>
      <c r="F38" s="44"/>
      <c r="G38" s="44"/>
      <c r="H38" s="44"/>
      <c r="I38" s="44"/>
      <c r="J38" s="44"/>
      <c r="K38" s="25" t="s">
        <v>168</v>
      </c>
      <c r="L38" s="44"/>
      <c r="M38" s="44"/>
      <c r="N38" s="44"/>
      <c r="O38" s="44"/>
      <c r="P38" s="44"/>
      <c r="Q38" s="44"/>
      <c r="R38" s="44"/>
      <c r="S38" s="44"/>
      <c r="T38" s="44"/>
    </row>
    <row r="39" spans="1:20" s="42" customFormat="1" ht="13.15" customHeight="1">
      <c r="B39" s="57"/>
      <c r="C39" s="57"/>
      <c r="D39" s="58"/>
      <c r="E39" s="44"/>
      <c r="F39" s="44"/>
      <c r="H39" s="44"/>
      <c r="I39" s="44"/>
      <c r="J39" s="79" t="s">
        <v>286</v>
      </c>
      <c r="K39" s="42" t="s">
        <v>167</v>
      </c>
      <c r="L39" s="44"/>
      <c r="M39" s="44"/>
      <c r="O39" s="26"/>
      <c r="P39" s="44"/>
      <c r="R39" s="44"/>
      <c r="S39" s="44"/>
    </row>
    <row r="40" spans="1:20" s="42" customFormat="1" ht="13.15" customHeight="1">
      <c r="A40" s="25"/>
      <c r="B40" s="57"/>
      <c r="C40" s="57"/>
      <c r="D40" s="57"/>
      <c r="E40" s="44"/>
      <c r="F40" s="44"/>
      <c r="H40" s="45"/>
      <c r="I40" s="44"/>
      <c r="J40" s="44"/>
      <c r="L40" s="27"/>
      <c r="M40" s="27"/>
      <c r="N40" s="27"/>
      <c r="O40" s="26"/>
      <c r="P40" s="27"/>
      <c r="R40" s="27"/>
      <c r="S40" s="27"/>
      <c r="T40" s="30" t="s">
        <v>166</v>
      </c>
    </row>
    <row r="41" spans="1:20" s="42" customFormat="1" ht="13.15" customHeight="1">
      <c r="A41" s="26"/>
      <c r="B41" s="52"/>
      <c r="C41" s="52"/>
      <c r="D41" s="55"/>
      <c r="E41" s="44"/>
      <c r="F41" s="44"/>
      <c r="G41" s="28"/>
      <c r="H41" s="28"/>
      <c r="I41" s="29"/>
      <c r="J41" s="44"/>
      <c r="K41" s="25"/>
      <c r="L41" s="27"/>
      <c r="M41" s="27"/>
      <c r="O41" s="25"/>
      <c r="P41" s="27"/>
      <c r="Q41" s="27"/>
      <c r="R41" s="27"/>
      <c r="S41" s="27"/>
      <c r="T41" s="27"/>
    </row>
    <row r="42" spans="1:20" s="21" customFormat="1" ht="12.75" customHeight="1">
      <c r="A42" s="24"/>
      <c r="B42" s="53"/>
      <c r="C42" s="53"/>
      <c r="D42" s="53"/>
      <c r="E42" s="23"/>
      <c r="F42" s="23"/>
      <c r="G42" s="23"/>
      <c r="H42" s="23"/>
      <c r="I42" s="23"/>
      <c r="J42" s="23"/>
      <c r="K42" s="27"/>
      <c r="L42" s="31"/>
      <c r="M42" s="31"/>
      <c r="N42" s="30"/>
      <c r="O42" s="27"/>
      <c r="P42" s="27"/>
      <c r="Q42" s="20"/>
      <c r="R42" s="20"/>
      <c r="S42" s="31"/>
      <c r="T42" s="31"/>
    </row>
  </sheetData>
  <sortState ref="A6:T37">
    <sortCondition ref="A6:A37"/>
  </sortState>
  <mergeCells count="11">
    <mergeCell ref="K1:T1"/>
    <mergeCell ref="A1:J1"/>
    <mergeCell ref="L3:N3"/>
    <mergeCell ref="I2:J2"/>
    <mergeCell ref="A3:A4"/>
    <mergeCell ref="H3:J3"/>
    <mergeCell ref="B3:D3"/>
    <mergeCell ref="E3:G3"/>
    <mergeCell ref="K3:K4"/>
    <mergeCell ref="O3:Q3"/>
    <mergeCell ref="R3:T3"/>
  </mergeCells>
  <printOptions horizontalCentered="1"/>
  <pageMargins left="0.66929133858267698" right="0.65748031500000004" top="0.98425196850393704" bottom="0.98425196850393704" header="0.511811023622047" footer="0.511811023622047"/>
  <pageSetup paperSize="9" firstPageNumber="163" orientation="portrait" r:id="rId1"/>
  <headerFooter alignWithMargins="0">
    <oddHeader>&amp;C&amp;P</oddHeader>
  </headerFooter>
  <colBreaks count="1" manualBreakCount="1">
    <brk id="10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0"/>
  <sheetViews>
    <sheetView view="pageBreakPreview" topLeftCell="A19" zoomScaleSheetLayoutView="100" workbookViewId="0">
      <selection activeCell="I12" sqref="I12"/>
    </sheetView>
  </sheetViews>
  <sheetFormatPr defaultColWidth="9.140625" defaultRowHeight="12.75"/>
  <cols>
    <col min="1" max="4" width="20.28515625" style="32" customWidth="1"/>
    <col min="5" max="16384" width="9.140625" style="32"/>
  </cols>
  <sheetData>
    <row r="1" spans="1:4" ht="60" customHeight="1">
      <c r="A1" s="287" t="s">
        <v>275</v>
      </c>
      <c r="B1" s="287"/>
      <c r="C1" s="287"/>
      <c r="D1" s="287"/>
    </row>
    <row r="2" spans="1:4" s="35" customFormat="1" ht="13.15" customHeight="1">
      <c r="A2" s="56" t="s">
        <v>171</v>
      </c>
      <c r="B2" s="56"/>
      <c r="C2" s="56"/>
      <c r="D2" s="56"/>
    </row>
    <row r="3" spans="1:4" ht="20.100000000000001" customHeight="1">
      <c r="A3" s="286" t="s">
        <v>91</v>
      </c>
      <c r="B3" s="286" t="s">
        <v>107</v>
      </c>
      <c r="C3" s="286"/>
      <c r="D3" s="286"/>
    </row>
    <row r="4" spans="1:4" ht="20.100000000000001" customHeight="1">
      <c r="A4" s="286"/>
      <c r="B4" s="81">
        <v>2018</v>
      </c>
      <c r="C4" s="81">
        <v>2019</v>
      </c>
      <c r="D4" s="81">
        <v>2020</v>
      </c>
    </row>
    <row r="5" spans="1:4" ht="17.45" customHeight="1">
      <c r="A5" s="101" t="s">
        <v>137</v>
      </c>
      <c r="B5" s="102">
        <f>SUM(B6:B37)</f>
        <v>938809</v>
      </c>
      <c r="C5" s="102">
        <f>SUM(C6:C37)</f>
        <v>602280</v>
      </c>
      <c r="D5" s="102">
        <f>SUM(D6:D37)</f>
        <v>737092</v>
      </c>
    </row>
    <row r="6" spans="1:4" ht="17.45" customHeight="1">
      <c r="A6" s="103" t="s">
        <v>34</v>
      </c>
      <c r="B6" s="67">
        <v>60000</v>
      </c>
      <c r="C6" s="67">
        <v>20000</v>
      </c>
      <c r="D6" s="67">
        <v>45000</v>
      </c>
    </row>
    <row r="7" spans="1:4" ht="17.45" customHeight="1">
      <c r="A7" s="92" t="s">
        <v>178</v>
      </c>
      <c r="B7" s="71">
        <v>35220</v>
      </c>
      <c r="C7" s="71">
        <v>35220</v>
      </c>
      <c r="D7" s="70">
        <v>8500</v>
      </c>
    </row>
    <row r="8" spans="1:4" ht="17.45" customHeight="1">
      <c r="A8" s="103" t="s">
        <v>53</v>
      </c>
      <c r="B8" s="67">
        <v>40550</v>
      </c>
      <c r="C8" s="67">
        <f>18780+2550</f>
        <v>21330</v>
      </c>
      <c r="D8" s="67">
        <f>29560+5000</f>
        <v>34560</v>
      </c>
    </row>
    <row r="9" spans="1:4" ht="17.45" customHeight="1">
      <c r="A9" s="103" t="s">
        <v>44</v>
      </c>
      <c r="B9" s="67">
        <v>17904</v>
      </c>
      <c r="C9" s="67">
        <v>6700</v>
      </c>
      <c r="D9" s="67">
        <v>7262</v>
      </c>
    </row>
    <row r="10" spans="1:4" ht="17.45" customHeight="1">
      <c r="A10" s="103" t="s">
        <v>80</v>
      </c>
      <c r="B10" s="67">
        <v>97062</v>
      </c>
      <c r="C10" s="67">
        <v>4500</v>
      </c>
      <c r="D10" s="67" t="s">
        <v>247</v>
      </c>
    </row>
    <row r="11" spans="1:4" ht="17.45" customHeight="1">
      <c r="A11" s="103" t="s">
        <v>17</v>
      </c>
      <c r="B11" s="67">
        <v>69680</v>
      </c>
      <c r="C11" s="67">
        <v>24560</v>
      </c>
      <c r="D11" s="67">
        <v>9630</v>
      </c>
    </row>
    <row r="12" spans="1:4" ht="17.45" customHeight="1">
      <c r="A12" s="103" t="s">
        <v>93</v>
      </c>
      <c r="B12" s="67">
        <v>14000</v>
      </c>
      <c r="C12" s="67">
        <v>10500</v>
      </c>
      <c r="D12" s="67">
        <v>25625</v>
      </c>
    </row>
    <row r="13" spans="1:4" ht="17.45" customHeight="1">
      <c r="A13" s="103" t="s">
        <v>57</v>
      </c>
      <c r="B13" s="67">
        <v>36700</v>
      </c>
      <c r="C13" s="67">
        <f>45000+1000</f>
        <v>46000</v>
      </c>
      <c r="D13" s="67">
        <f>30000+600</f>
        <v>30600</v>
      </c>
    </row>
    <row r="14" spans="1:4" ht="17.45" customHeight="1">
      <c r="A14" s="85" t="s">
        <v>153</v>
      </c>
      <c r="B14" s="67" t="s">
        <v>247</v>
      </c>
      <c r="C14" s="67">
        <v>20000</v>
      </c>
      <c r="D14" s="67">
        <v>20000</v>
      </c>
    </row>
    <row r="15" spans="1:4" ht="17.45" customHeight="1">
      <c r="A15" s="85" t="s">
        <v>154</v>
      </c>
      <c r="B15" s="67">
        <v>50000</v>
      </c>
      <c r="C15" s="67">
        <v>46500</v>
      </c>
      <c r="D15" s="67">
        <v>26000</v>
      </c>
    </row>
    <row r="16" spans="1:4" ht="17.45" customHeight="1">
      <c r="A16" s="103" t="s">
        <v>28</v>
      </c>
      <c r="B16" s="67">
        <v>80000</v>
      </c>
      <c r="C16" s="67">
        <v>80000</v>
      </c>
      <c r="D16" s="67" t="s">
        <v>247</v>
      </c>
    </row>
    <row r="17" spans="1:4" ht="17.45" customHeight="1">
      <c r="A17" s="103" t="s">
        <v>36</v>
      </c>
      <c r="B17" s="67">
        <v>5000</v>
      </c>
      <c r="C17" s="67">
        <v>10000</v>
      </c>
      <c r="D17" s="67">
        <v>30000</v>
      </c>
    </row>
    <row r="18" spans="1:4" ht="17.45" customHeight="1">
      <c r="A18" s="103" t="s">
        <v>30</v>
      </c>
      <c r="B18" s="67">
        <v>21043</v>
      </c>
      <c r="C18" s="67">
        <v>10500</v>
      </c>
      <c r="D18" s="67">
        <v>45000</v>
      </c>
    </row>
    <row r="19" spans="1:4" ht="17.45" customHeight="1">
      <c r="A19" s="92" t="s">
        <v>179</v>
      </c>
      <c r="B19" s="71">
        <v>9450</v>
      </c>
      <c r="C19" s="71">
        <v>9450</v>
      </c>
      <c r="D19" s="70">
        <v>5500</v>
      </c>
    </row>
    <row r="20" spans="1:4" ht="17.45" customHeight="1">
      <c r="A20" s="103" t="s">
        <v>26</v>
      </c>
      <c r="B20" s="67">
        <v>31700</v>
      </c>
      <c r="C20" s="67">
        <f>13360+1200</f>
        <v>14560</v>
      </c>
      <c r="D20" s="67">
        <f>21800+2000</f>
        <v>23800</v>
      </c>
    </row>
    <row r="21" spans="1:4" ht="17.45" customHeight="1">
      <c r="A21" s="103" t="s">
        <v>92</v>
      </c>
      <c r="B21" s="67" t="s">
        <v>247</v>
      </c>
      <c r="C21" s="67" t="s">
        <v>247</v>
      </c>
      <c r="D21" s="67">
        <v>7130</v>
      </c>
    </row>
    <row r="22" spans="1:4" ht="17.45" customHeight="1">
      <c r="A22" s="92" t="s">
        <v>180</v>
      </c>
      <c r="B22" s="71">
        <v>9620</v>
      </c>
      <c r="C22" s="71">
        <v>9620</v>
      </c>
      <c r="D22" s="70">
        <v>5300</v>
      </c>
    </row>
    <row r="23" spans="1:4" ht="17.45" customHeight="1">
      <c r="A23" s="103" t="s">
        <v>55</v>
      </c>
      <c r="B23" s="67">
        <v>1500</v>
      </c>
      <c r="C23" s="67">
        <f>21800+1500</f>
        <v>23300</v>
      </c>
      <c r="D23" s="67">
        <f>47700+1200</f>
        <v>48900</v>
      </c>
    </row>
    <row r="24" spans="1:4" ht="17.45" customHeight="1">
      <c r="A24" s="103" t="s">
        <v>95</v>
      </c>
      <c r="B24" s="67">
        <v>15000</v>
      </c>
      <c r="C24" s="67">
        <v>15000</v>
      </c>
      <c r="D24" s="67">
        <v>2000</v>
      </c>
    </row>
    <row r="25" spans="1:4" ht="17.45" customHeight="1">
      <c r="A25" s="103" t="s">
        <v>39</v>
      </c>
      <c r="B25" s="67">
        <v>25000</v>
      </c>
      <c r="C25" s="67">
        <v>16160</v>
      </c>
      <c r="D25" s="67">
        <v>40070</v>
      </c>
    </row>
    <row r="26" spans="1:4" ht="17.45" customHeight="1">
      <c r="A26" s="103" t="s">
        <v>20</v>
      </c>
      <c r="B26" s="67">
        <v>83450</v>
      </c>
      <c r="C26" s="67">
        <v>4000</v>
      </c>
      <c r="D26" s="67">
        <v>20000</v>
      </c>
    </row>
    <row r="27" spans="1:4" ht="17.45" customHeight="1">
      <c r="A27" s="92" t="s">
        <v>181</v>
      </c>
      <c r="B27" s="71">
        <v>2650</v>
      </c>
      <c r="C27" s="71">
        <v>2650</v>
      </c>
      <c r="D27" s="70">
        <v>15000</v>
      </c>
    </row>
    <row r="28" spans="1:4" ht="17.45" customHeight="1">
      <c r="A28" s="92" t="s">
        <v>183</v>
      </c>
      <c r="B28" s="71">
        <v>12500</v>
      </c>
      <c r="C28" s="71">
        <v>12500</v>
      </c>
      <c r="D28" s="70">
        <v>10000</v>
      </c>
    </row>
    <row r="29" spans="1:4" ht="17.45" customHeight="1">
      <c r="A29" s="103" t="s">
        <v>15</v>
      </c>
      <c r="B29" s="67">
        <v>42900</v>
      </c>
      <c r="C29" s="67">
        <v>47900</v>
      </c>
      <c r="D29" s="67">
        <v>40050</v>
      </c>
    </row>
    <row r="30" spans="1:4" ht="17.45" customHeight="1">
      <c r="A30" s="92" t="s">
        <v>182</v>
      </c>
      <c r="B30" s="71">
        <v>10500</v>
      </c>
      <c r="C30" s="71">
        <v>10500</v>
      </c>
      <c r="D30" s="67" t="s">
        <v>247</v>
      </c>
    </row>
    <row r="31" spans="1:4" s="1" customFormat="1" ht="17.45" customHeight="1">
      <c r="A31" s="103" t="s">
        <v>13</v>
      </c>
      <c r="B31" s="67">
        <v>16000</v>
      </c>
      <c r="C31" s="67">
        <v>1000</v>
      </c>
      <c r="D31" s="67">
        <v>1500</v>
      </c>
    </row>
    <row r="32" spans="1:4" customFormat="1" ht="17.45" customHeight="1">
      <c r="A32" s="103" t="s">
        <v>94</v>
      </c>
      <c r="B32" s="67">
        <v>1000</v>
      </c>
      <c r="C32" s="67">
        <v>800</v>
      </c>
      <c r="D32" s="67">
        <v>19000</v>
      </c>
    </row>
    <row r="33" spans="1:4" s="1" customFormat="1" ht="17.45" customHeight="1">
      <c r="A33" s="92" t="s">
        <v>184</v>
      </c>
      <c r="B33" s="71">
        <v>7500</v>
      </c>
      <c r="C33" s="71">
        <v>7500</v>
      </c>
      <c r="D33" s="70">
        <v>25400</v>
      </c>
    </row>
    <row r="34" spans="1:4" customFormat="1" ht="17.45" customHeight="1">
      <c r="A34" s="103" t="s">
        <v>23</v>
      </c>
      <c r="B34" s="67">
        <v>101380</v>
      </c>
      <c r="C34" s="67" t="s">
        <v>247</v>
      </c>
      <c r="D34" s="67">
        <v>94140</v>
      </c>
    </row>
    <row r="35" spans="1:4" customFormat="1" ht="17.45" customHeight="1">
      <c r="A35" s="103" t="s">
        <v>71</v>
      </c>
      <c r="B35" s="67">
        <v>30000</v>
      </c>
      <c r="C35" s="67">
        <v>76000</v>
      </c>
      <c r="D35" s="67">
        <v>63350</v>
      </c>
    </row>
    <row r="36" spans="1:4" customFormat="1" ht="17.45" customHeight="1">
      <c r="A36" s="103" t="s">
        <v>51</v>
      </c>
      <c r="B36" s="67">
        <v>11500</v>
      </c>
      <c r="C36" s="67">
        <f>14030+1500</f>
        <v>15530</v>
      </c>
      <c r="D36" s="67">
        <f>32200+1575</f>
        <v>33775</v>
      </c>
    </row>
    <row r="37" spans="1:4" customFormat="1" ht="17.45" customHeight="1">
      <c r="A37" s="103" t="s">
        <v>147</v>
      </c>
      <c r="B37" s="67" t="s">
        <v>247</v>
      </c>
      <c r="C37" s="67" t="s">
        <v>247</v>
      </c>
      <c r="D37" s="67" t="s">
        <v>247</v>
      </c>
    </row>
    <row r="38" spans="1:4" ht="24" customHeight="1">
      <c r="A38" s="77"/>
      <c r="B38" s="105"/>
      <c r="C38" s="104"/>
      <c r="D38" s="106" t="s">
        <v>169</v>
      </c>
    </row>
    <row r="39" spans="1:4">
      <c r="B39" s="23"/>
    </row>
    <row r="40" spans="1:4">
      <c r="C40" s="33"/>
      <c r="D40" s="33"/>
    </row>
  </sheetData>
  <sortState ref="A6:D37">
    <sortCondition ref="A6:A37"/>
  </sortState>
  <mergeCells count="3">
    <mergeCell ref="A1:D1"/>
    <mergeCell ref="A3:A4"/>
    <mergeCell ref="B3:D3"/>
  </mergeCells>
  <printOptions horizontalCentered="1"/>
  <pageMargins left="0.84803149606299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Table 123</vt:lpstr>
      <vt:lpstr>Table 124</vt:lpstr>
      <vt:lpstr>Table125</vt:lpstr>
      <vt:lpstr>Table 126</vt:lpstr>
      <vt:lpstr>Table 127</vt:lpstr>
      <vt:lpstr>Table 128</vt:lpstr>
      <vt:lpstr>Table 129</vt:lpstr>
      <vt:lpstr>Table 130-131</vt:lpstr>
      <vt:lpstr>Table 132</vt:lpstr>
      <vt:lpstr>Table 133</vt:lpstr>
      <vt:lpstr>Table 134</vt:lpstr>
      <vt:lpstr>Table 135</vt:lpstr>
      <vt:lpstr>'Table 124'!Print_Area</vt:lpstr>
      <vt:lpstr>'Table 126'!Print_Area</vt:lpstr>
      <vt:lpstr>'Table 127'!Print_Area</vt:lpstr>
      <vt:lpstr>'Table 128'!Print_Area</vt:lpstr>
      <vt:lpstr>'Table 130-131'!Print_Area</vt:lpstr>
      <vt:lpstr>'Table 132'!Print_Area</vt:lpstr>
      <vt:lpstr>'Table 134'!Print_Area</vt:lpstr>
      <vt:lpstr>'Table 135'!Print_Area</vt:lpstr>
      <vt:lpstr>Table125!Print_Area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2021-08-06T07:32:02Z</cp:lastPrinted>
  <dcterms:created xsi:type="dcterms:W3CDTF">2002-09-07T05:00:46Z</dcterms:created>
  <dcterms:modified xsi:type="dcterms:W3CDTF">2021-08-06T07:34:21Z</dcterms:modified>
</cp:coreProperties>
</file>