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qib\Desktop\DS 2021==final_04082021\Agriculture\"/>
    </mc:Choice>
  </mc:AlternateContent>
  <bookViews>
    <workbookView xWindow="-120" yWindow="-120" windowWidth="29040" windowHeight="15840"/>
  </bookViews>
  <sheets>
    <sheet name="Table 1" sheetId="8" r:id="rId1"/>
    <sheet name="Table 2" sheetId="1" r:id="rId2"/>
    <sheet name="Table 3" sheetId="2" r:id="rId3"/>
    <sheet name="Table 4" sheetId="3" r:id="rId4"/>
    <sheet name="Table 5-8" sheetId="6" r:id="rId5"/>
    <sheet name="Table 9-10" sheetId="4" r:id="rId6"/>
    <sheet name="Table 11" sheetId="5" r:id="rId7"/>
    <sheet name="Table 12" sheetId="10" r:id="rId8"/>
  </sheets>
  <definedNames>
    <definedName name="_xlnm.Print_Area" localSheetId="0">'Table 1'!$A$1:$M$39</definedName>
    <definedName name="_xlnm.Print_Area" localSheetId="6">'Table 11'!$A$1:$K$38</definedName>
    <definedName name="_xlnm.Print_Area" localSheetId="7">'Table 12'!$A$1:$E$38</definedName>
    <definedName name="_xlnm.Print_Area" localSheetId="1">'Table 2'!$A$1:$J$39</definedName>
    <definedName name="_xlnm.Print_Area" localSheetId="2">'Table 3'!$A$1:$P$9</definedName>
    <definedName name="_xlnm.Print_Area" localSheetId="4">'Table 5-8'!$A$1:$M$156</definedName>
  </definedNames>
  <calcPr calcId="162913" iterateDelta="0"/>
</workbook>
</file>

<file path=xl/calcChain.xml><?xml version="1.0" encoding="utf-8"?>
<calcChain xmlns="http://schemas.openxmlformats.org/spreadsheetml/2006/main">
  <c r="I5" i="8" l="1"/>
  <c r="F5" i="8"/>
  <c r="B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G5" i="8"/>
  <c r="H5" i="8"/>
  <c r="L5" i="8"/>
  <c r="M5" i="8"/>
  <c r="B6" i="5" l="1"/>
  <c r="B8" i="5"/>
  <c r="B9" i="5"/>
  <c r="B10" i="5"/>
  <c r="B11" i="5"/>
  <c r="B13" i="5"/>
  <c r="B14" i="5"/>
  <c r="B15" i="5"/>
  <c r="B16" i="5"/>
  <c r="B17" i="5"/>
  <c r="B18" i="5"/>
  <c r="B20" i="5"/>
  <c r="B23" i="5"/>
  <c r="B24" i="5"/>
  <c r="B25" i="5"/>
  <c r="B26" i="5"/>
  <c r="B27" i="5"/>
  <c r="B28" i="5"/>
  <c r="B29" i="5"/>
  <c r="B31" i="5"/>
  <c r="B32" i="5"/>
  <c r="B33" i="5"/>
  <c r="B34" i="5"/>
  <c r="B36" i="5"/>
  <c r="K22" i="5"/>
  <c r="J22" i="5"/>
  <c r="I22" i="5"/>
  <c r="H22" i="5"/>
  <c r="G22" i="5"/>
  <c r="F22" i="5"/>
  <c r="E22" i="5"/>
  <c r="D22" i="5"/>
  <c r="C22" i="5"/>
  <c r="K35" i="5"/>
  <c r="J35" i="5"/>
  <c r="I35" i="5"/>
  <c r="H35" i="5"/>
  <c r="G35" i="5"/>
  <c r="F35" i="5"/>
  <c r="E35" i="5"/>
  <c r="D35" i="5"/>
  <c r="C35" i="5"/>
  <c r="K7" i="5"/>
  <c r="J7" i="5"/>
  <c r="I7" i="5"/>
  <c r="H7" i="5"/>
  <c r="G7" i="5"/>
  <c r="F7" i="5"/>
  <c r="E7" i="5"/>
  <c r="D7" i="5"/>
  <c r="C7" i="5"/>
  <c r="K12" i="5"/>
  <c r="J12" i="5"/>
  <c r="I12" i="5"/>
  <c r="H12" i="5"/>
  <c r="G12" i="5"/>
  <c r="F12" i="5"/>
  <c r="E12" i="5"/>
  <c r="D12" i="5"/>
  <c r="C12" i="5"/>
  <c r="B12" i="5" s="1"/>
  <c r="K19" i="5"/>
  <c r="J19" i="5"/>
  <c r="I19" i="5"/>
  <c r="H19" i="5"/>
  <c r="G19" i="5"/>
  <c r="F19" i="5"/>
  <c r="E19" i="5"/>
  <c r="D19" i="5"/>
  <c r="C19" i="5"/>
  <c r="K30" i="5"/>
  <c r="J30" i="5"/>
  <c r="I30" i="5"/>
  <c r="H30" i="5"/>
  <c r="G30" i="5"/>
  <c r="F30" i="5"/>
  <c r="E30" i="5"/>
  <c r="D30" i="5"/>
  <c r="C30" i="5"/>
  <c r="K21" i="5"/>
  <c r="J21" i="5"/>
  <c r="I21" i="5"/>
  <c r="H21" i="5"/>
  <c r="G21" i="5"/>
  <c r="F21" i="5"/>
  <c r="E21" i="5"/>
  <c r="D21" i="5"/>
  <c r="C21" i="5"/>
  <c r="B22" i="5" l="1"/>
  <c r="B19" i="5"/>
  <c r="B30" i="5"/>
  <c r="B35" i="5"/>
  <c r="B7" i="5"/>
  <c r="B21" i="5"/>
  <c r="B21" i="6"/>
  <c r="B22" i="6"/>
  <c r="B23" i="6"/>
  <c r="B24" i="6"/>
  <c r="B25" i="6"/>
  <c r="B26" i="6"/>
  <c r="B7" i="6"/>
  <c r="B8" i="6"/>
  <c r="B9" i="6"/>
  <c r="B10" i="6"/>
  <c r="B11" i="6"/>
  <c r="B12" i="6"/>
  <c r="B13" i="6"/>
  <c r="B14" i="6"/>
  <c r="B15" i="6"/>
  <c r="B16" i="6"/>
  <c r="B17" i="6"/>
  <c r="B18" i="6"/>
  <c r="M31" i="8"/>
  <c r="L31" i="8"/>
  <c r="K31" i="8"/>
  <c r="I31" i="8"/>
  <c r="H31" i="8"/>
  <c r="G31" i="8"/>
  <c r="E31" i="8"/>
  <c r="D31" i="8"/>
  <c r="C31" i="8"/>
  <c r="M20" i="8"/>
  <c r="L20" i="8"/>
  <c r="I20" i="8"/>
  <c r="H20" i="8"/>
  <c r="E20" i="8"/>
  <c r="D20" i="8"/>
  <c r="C20" i="8"/>
  <c r="M13" i="8"/>
  <c r="L13" i="8"/>
  <c r="K13" i="8"/>
  <c r="I13" i="8"/>
  <c r="H13" i="8"/>
  <c r="G13" i="8"/>
  <c r="E13" i="8"/>
  <c r="D13" i="8"/>
  <c r="C13" i="8"/>
  <c r="M8" i="8"/>
  <c r="L8" i="8"/>
  <c r="K8" i="8"/>
  <c r="I8" i="8"/>
  <c r="H8" i="8"/>
  <c r="G8" i="8"/>
  <c r="E8" i="8"/>
  <c r="D8" i="8"/>
  <c r="C8" i="8"/>
  <c r="E76" i="4" l="1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 l="1"/>
  <c r="E45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6" i="4"/>
  <c r="J130" i="6"/>
  <c r="F130" i="6"/>
  <c r="J138" i="6"/>
  <c r="J139" i="6"/>
  <c r="J140" i="6"/>
  <c r="J141" i="6"/>
  <c r="J142" i="6"/>
  <c r="J143" i="6"/>
  <c r="J137" i="6"/>
  <c r="F109" i="6"/>
  <c r="F92" i="6"/>
  <c r="B85" i="6"/>
  <c r="B86" i="6"/>
  <c r="B87" i="6"/>
  <c r="B88" i="6"/>
  <c r="B89" i="6"/>
  <c r="B90" i="6"/>
  <c r="B91" i="6"/>
  <c r="B92" i="6"/>
  <c r="B93" i="6"/>
  <c r="B94" i="6"/>
  <c r="B95" i="6"/>
  <c r="B96" i="6"/>
  <c r="B98" i="6"/>
  <c r="B99" i="6"/>
  <c r="B100" i="6"/>
  <c r="B101" i="6"/>
  <c r="B102" i="6"/>
  <c r="B103" i="6"/>
  <c r="B104" i="6"/>
  <c r="B107" i="6"/>
  <c r="B109" i="6"/>
  <c r="B111" i="6"/>
  <c r="B112" i="6"/>
  <c r="B113" i="6"/>
  <c r="B114" i="6"/>
  <c r="B84" i="6"/>
  <c r="F84" i="6"/>
  <c r="F46" i="6"/>
  <c r="F47" i="6"/>
  <c r="F48" i="6"/>
  <c r="F49" i="6"/>
  <c r="F50" i="6"/>
  <c r="F51" i="6"/>
  <c r="F52" i="6"/>
  <c r="F53" i="6"/>
  <c r="F54" i="6"/>
  <c r="F55" i="6"/>
  <c r="F56" i="6"/>
  <c r="F57" i="6"/>
  <c r="F59" i="6"/>
  <c r="F60" i="6"/>
  <c r="F61" i="6"/>
  <c r="F62" i="6"/>
  <c r="F63" i="6"/>
  <c r="F64" i="6"/>
  <c r="F65" i="6"/>
  <c r="F68" i="6"/>
  <c r="F70" i="6"/>
  <c r="F73" i="6"/>
  <c r="F74" i="6"/>
  <c r="F75" i="6"/>
  <c r="B46" i="6"/>
  <c r="B47" i="6"/>
  <c r="B48" i="6"/>
  <c r="B49" i="6"/>
  <c r="B50" i="6"/>
  <c r="B51" i="6"/>
  <c r="B52" i="6"/>
  <c r="B53" i="6"/>
  <c r="B54" i="6"/>
  <c r="B55" i="6"/>
  <c r="B56" i="6"/>
  <c r="B57" i="6"/>
  <c r="B59" i="6"/>
  <c r="B60" i="6"/>
  <c r="B61" i="6"/>
  <c r="B62" i="6"/>
  <c r="B63" i="6"/>
  <c r="B64" i="6"/>
  <c r="B65" i="6"/>
  <c r="B68" i="6"/>
  <c r="B70" i="6"/>
  <c r="B73" i="6"/>
  <c r="B74" i="6"/>
  <c r="B75" i="6"/>
  <c r="B45" i="6"/>
  <c r="F45" i="6"/>
  <c r="J45" i="6"/>
  <c r="J7" i="6"/>
  <c r="J8" i="6"/>
  <c r="J9" i="6"/>
  <c r="J10" i="6"/>
  <c r="J11" i="6"/>
  <c r="J12" i="6"/>
  <c r="J13" i="6"/>
  <c r="J14" i="6"/>
  <c r="J15" i="6"/>
  <c r="J16" i="6"/>
  <c r="J17" i="6"/>
  <c r="J18" i="6"/>
  <c r="J20" i="6"/>
  <c r="J21" i="6"/>
  <c r="J22" i="6"/>
  <c r="J23" i="6"/>
  <c r="J24" i="6"/>
  <c r="J25" i="6"/>
  <c r="J26" i="6"/>
  <c r="J29" i="6"/>
  <c r="J31" i="6"/>
  <c r="J33" i="6"/>
  <c r="J34" i="6"/>
  <c r="J35" i="6"/>
  <c r="J36" i="6"/>
  <c r="J37" i="6"/>
  <c r="J6" i="6"/>
  <c r="F7" i="6"/>
  <c r="F8" i="6"/>
  <c r="F9" i="6"/>
  <c r="F10" i="6"/>
  <c r="F11" i="6"/>
  <c r="F12" i="6"/>
  <c r="F13" i="6"/>
  <c r="F14" i="6"/>
  <c r="F15" i="6"/>
  <c r="F16" i="6"/>
  <c r="F17" i="6"/>
  <c r="F18" i="6"/>
  <c r="F20" i="6"/>
  <c r="F21" i="6"/>
  <c r="F22" i="6"/>
  <c r="F23" i="6"/>
  <c r="F24" i="6"/>
  <c r="F25" i="6"/>
  <c r="F26" i="6"/>
  <c r="F29" i="6"/>
  <c r="F31" i="6"/>
  <c r="F34" i="6"/>
  <c r="F35" i="6"/>
  <c r="F36" i="6"/>
  <c r="F6" i="6"/>
  <c r="B20" i="6"/>
  <c r="B29" i="6"/>
  <c r="B31" i="6"/>
  <c r="B34" i="6"/>
  <c r="B35" i="6"/>
  <c r="B36" i="6"/>
  <c r="B6" i="6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7" i="8"/>
  <c r="J6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6" i="8"/>
  <c r="J5" i="8" l="1"/>
  <c r="I5" i="4"/>
  <c r="J72" i="6"/>
  <c r="E5" i="10" l="1"/>
  <c r="D5" i="10"/>
  <c r="C5" i="10"/>
  <c r="B5" i="10"/>
  <c r="B5" i="5"/>
  <c r="K4" i="5"/>
  <c r="J4" i="5"/>
  <c r="I4" i="5"/>
  <c r="H4" i="5"/>
  <c r="G4" i="5"/>
  <c r="F4" i="5"/>
  <c r="E4" i="5"/>
  <c r="D4" i="5"/>
  <c r="C4" i="5"/>
  <c r="B4" i="5" l="1"/>
  <c r="H8" i="4"/>
  <c r="H9" i="4"/>
  <c r="H10" i="4"/>
  <c r="H11" i="4"/>
  <c r="H12" i="4"/>
  <c r="H13" i="4"/>
  <c r="H14" i="4"/>
  <c r="H15" i="4"/>
  <c r="H16" i="4"/>
  <c r="H17" i="4"/>
  <c r="H18" i="4"/>
  <c r="H20" i="4"/>
  <c r="H23" i="4"/>
  <c r="H24" i="4"/>
  <c r="H25" i="4"/>
  <c r="H26" i="4"/>
  <c r="H29" i="4"/>
  <c r="H31" i="4"/>
  <c r="H33" i="4"/>
  <c r="H34" i="4"/>
  <c r="H35" i="4"/>
  <c r="H36" i="4"/>
  <c r="H37" i="4"/>
  <c r="H7" i="4"/>
  <c r="H19" i="4"/>
  <c r="H22" i="4"/>
  <c r="H27" i="4"/>
  <c r="H30" i="4"/>
  <c r="H28" i="4"/>
  <c r="H32" i="4"/>
  <c r="J125" i="6"/>
  <c r="J126" i="6"/>
  <c r="J127" i="6"/>
  <c r="J128" i="6"/>
  <c r="J129" i="6"/>
  <c r="J131" i="6"/>
  <c r="J132" i="6"/>
  <c r="J133" i="6"/>
  <c r="J134" i="6"/>
  <c r="J135" i="6"/>
  <c r="J146" i="6"/>
  <c r="J148" i="6"/>
  <c r="J150" i="6"/>
  <c r="J151" i="6"/>
  <c r="J152" i="6"/>
  <c r="J153" i="6"/>
  <c r="J154" i="6"/>
  <c r="J124" i="6"/>
  <c r="J86" i="6"/>
  <c r="J87" i="6"/>
  <c r="J88" i="6"/>
  <c r="J89" i="6"/>
  <c r="J90" i="6"/>
  <c r="J91" i="6"/>
  <c r="J92" i="6"/>
  <c r="J93" i="6"/>
  <c r="J94" i="6"/>
  <c r="J95" i="6"/>
  <c r="J96" i="6"/>
  <c r="J98" i="6"/>
  <c r="J99" i="6"/>
  <c r="J101" i="6"/>
  <c r="J102" i="6"/>
  <c r="J103" i="6"/>
  <c r="J104" i="6"/>
  <c r="J107" i="6"/>
  <c r="J109" i="6"/>
  <c r="J111" i="6"/>
  <c r="J112" i="6"/>
  <c r="J113" i="6"/>
  <c r="J114" i="6"/>
  <c r="J115" i="6"/>
  <c r="J85" i="6"/>
  <c r="J100" i="6"/>
  <c r="J84" i="6"/>
  <c r="J47" i="6"/>
  <c r="J48" i="6"/>
  <c r="J49" i="6"/>
  <c r="J50" i="6"/>
  <c r="J51" i="6"/>
  <c r="J52" i="6"/>
  <c r="J53" i="6"/>
  <c r="J54" i="6"/>
  <c r="J55" i="6"/>
  <c r="J56" i="6"/>
  <c r="J57" i="6"/>
  <c r="J59" i="6"/>
  <c r="J60" i="6"/>
  <c r="J62" i="6"/>
  <c r="J63" i="6"/>
  <c r="J64" i="6"/>
  <c r="J65" i="6"/>
  <c r="J68" i="6"/>
  <c r="J70" i="6"/>
  <c r="J73" i="6"/>
  <c r="J74" i="6"/>
  <c r="J75" i="6"/>
  <c r="J76" i="6"/>
  <c r="J46" i="6"/>
  <c r="J61" i="6"/>
  <c r="H47" i="4" l="1"/>
  <c r="H48" i="4"/>
  <c r="H49" i="4"/>
  <c r="H50" i="4"/>
  <c r="H51" i="4"/>
  <c r="H52" i="4"/>
  <c r="H53" i="4"/>
  <c r="H54" i="4"/>
  <c r="H55" i="4"/>
  <c r="H56" i="4"/>
  <c r="H57" i="4"/>
  <c r="H59" i="4"/>
  <c r="H60" i="4"/>
  <c r="H62" i="4"/>
  <c r="H63" i="4"/>
  <c r="H64" i="4"/>
  <c r="H65" i="4"/>
  <c r="H68" i="4"/>
  <c r="H70" i="4"/>
  <c r="H72" i="4"/>
  <c r="H73" i="4"/>
  <c r="H74" i="4"/>
  <c r="H75" i="4"/>
  <c r="H76" i="4"/>
  <c r="H46" i="4"/>
  <c r="H58" i="4"/>
  <c r="H61" i="4"/>
  <c r="H66" i="4"/>
  <c r="H69" i="4"/>
  <c r="H67" i="4"/>
  <c r="H71" i="4"/>
  <c r="H45" i="4"/>
  <c r="D7" i="2"/>
  <c r="E7" i="2"/>
  <c r="F7" i="2"/>
  <c r="C7" i="2"/>
  <c r="B124" i="6" l="1"/>
  <c r="B139" i="6"/>
  <c r="F6" i="2"/>
  <c r="E6" i="2"/>
  <c r="D6" i="2"/>
  <c r="C6" i="2"/>
  <c r="F5" i="2"/>
  <c r="E5" i="2"/>
  <c r="D5" i="2"/>
  <c r="C5" i="2"/>
  <c r="G7" i="2"/>
  <c r="G5" i="2"/>
  <c r="E5" i="8" l="1"/>
  <c r="D5" i="8"/>
  <c r="C5" i="8"/>
  <c r="K5" i="8"/>
  <c r="G5" i="1"/>
  <c r="F5" i="1"/>
  <c r="E5" i="1"/>
  <c r="D5" i="1"/>
  <c r="C5" i="1"/>
  <c r="B5" i="1"/>
  <c r="J5" i="1"/>
  <c r="I5" i="1"/>
  <c r="H5" i="1"/>
  <c r="L6" i="2"/>
  <c r="L5" i="2"/>
  <c r="L7" i="2"/>
  <c r="G6" i="2"/>
  <c r="B6" i="2"/>
  <c r="B5" i="2"/>
  <c r="B7" i="2"/>
  <c r="C5" i="3"/>
  <c r="B5" i="3"/>
  <c r="D5" i="3"/>
  <c r="I122" i="6"/>
  <c r="H122" i="6"/>
  <c r="G122" i="6"/>
  <c r="E122" i="6"/>
  <c r="D122" i="6"/>
  <c r="C122" i="6"/>
  <c r="I83" i="6"/>
  <c r="H83" i="6"/>
  <c r="G83" i="6"/>
  <c r="E83" i="6"/>
  <c r="D83" i="6"/>
  <c r="C83" i="6"/>
  <c r="M83" i="6"/>
  <c r="L83" i="6"/>
  <c r="K83" i="6"/>
  <c r="I44" i="6"/>
  <c r="H44" i="6"/>
  <c r="G44" i="6"/>
  <c r="E44" i="6"/>
  <c r="D44" i="6"/>
  <c r="C44" i="6"/>
  <c r="I5" i="6"/>
  <c r="H5" i="6"/>
  <c r="G5" i="6"/>
  <c r="D5" i="6"/>
  <c r="C5" i="6"/>
  <c r="F44" i="4"/>
  <c r="C44" i="4"/>
  <c r="I44" i="4"/>
  <c r="H44" i="4"/>
  <c r="G5" i="4"/>
  <c r="F5" i="4"/>
  <c r="D5" i="4"/>
  <c r="C5" i="4"/>
  <c r="J5" i="4"/>
  <c r="F123" i="6" l="1"/>
  <c r="F125" i="6"/>
  <c r="F126" i="6"/>
  <c r="F127" i="6"/>
  <c r="F128" i="6"/>
  <c r="F129" i="6"/>
  <c r="F131" i="6"/>
  <c r="F132" i="6"/>
  <c r="F133" i="6"/>
  <c r="F134" i="6"/>
  <c r="F135" i="6"/>
  <c r="F137" i="6"/>
  <c r="F138" i="6"/>
  <c r="F140" i="6"/>
  <c r="F141" i="6"/>
  <c r="F142" i="6"/>
  <c r="F143" i="6"/>
  <c r="F146" i="6"/>
  <c r="F148" i="6"/>
  <c r="F151" i="6"/>
  <c r="F152" i="6"/>
  <c r="F153" i="6"/>
  <c r="F124" i="6"/>
  <c r="F139" i="6"/>
  <c r="F86" i="6"/>
  <c r="F87" i="6"/>
  <c r="F88" i="6"/>
  <c r="F89" i="6"/>
  <c r="F94" i="6"/>
  <c r="F95" i="6"/>
  <c r="F96" i="6"/>
  <c r="F98" i="6"/>
  <c r="F99" i="6"/>
  <c r="F101" i="6"/>
  <c r="F102" i="6"/>
  <c r="F103" i="6"/>
  <c r="F104" i="6"/>
  <c r="F107" i="6"/>
  <c r="F112" i="6"/>
  <c r="F113" i="6"/>
  <c r="F114" i="6"/>
  <c r="F85" i="6"/>
  <c r="F100" i="6"/>
  <c r="E44" i="4" l="1"/>
  <c r="E5" i="4"/>
  <c r="F44" i="6"/>
  <c r="F122" i="6"/>
  <c r="F83" i="6"/>
  <c r="F5" i="6" l="1"/>
  <c r="H6" i="4" l="1"/>
  <c r="H5" i="4" s="1"/>
  <c r="B153" i="6"/>
  <c r="B152" i="6"/>
  <c r="B151" i="6"/>
  <c r="B148" i="6"/>
  <c r="B146" i="6"/>
  <c r="B143" i="6"/>
  <c r="B141" i="6"/>
  <c r="M122" i="6"/>
  <c r="L122" i="6"/>
  <c r="K122" i="6"/>
  <c r="B140" i="6"/>
  <c r="B135" i="6"/>
  <c r="B134" i="6"/>
  <c r="B133" i="6"/>
  <c r="B132" i="6"/>
  <c r="B131" i="6"/>
  <c r="B130" i="6"/>
  <c r="B129" i="6"/>
  <c r="B128" i="6"/>
  <c r="B127" i="6"/>
  <c r="B125" i="6"/>
  <c r="B123" i="6"/>
  <c r="J123" i="6"/>
  <c r="J122" i="6" s="1"/>
  <c r="M44" i="6"/>
  <c r="L44" i="6"/>
  <c r="K44" i="6"/>
  <c r="M5" i="6"/>
  <c r="L5" i="6"/>
  <c r="K5" i="6"/>
  <c r="B44" i="4" l="1"/>
  <c r="B5" i="4"/>
  <c r="B122" i="6"/>
  <c r="B83" i="6"/>
  <c r="J83" i="6"/>
  <c r="B44" i="6"/>
  <c r="J44" i="6"/>
  <c r="J5" i="6"/>
  <c r="E5" i="6"/>
  <c r="B5" i="6"/>
</calcChain>
</file>

<file path=xl/sharedStrings.xml><?xml version="1.0" encoding="utf-8"?>
<sst xmlns="http://schemas.openxmlformats.org/spreadsheetml/2006/main" count="1139" uniqueCount="105">
  <si>
    <t>District</t>
  </si>
  <si>
    <t>Centres</t>
  </si>
  <si>
    <t>Total</t>
  </si>
  <si>
    <t>Peshawar</t>
  </si>
  <si>
    <t>Nowshera</t>
  </si>
  <si>
    <t>Charsadda</t>
  </si>
  <si>
    <t>Mardan</t>
  </si>
  <si>
    <t>Swabi</t>
  </si>
  <si>
    <t>Kohat</t>
  </si>
  <si>
    <t>Hangu</t>
  </si>
  <si>
    <t>Karak</t>
  </si>
  <si>
    <t>Abbottabad</t>
  </si>
  <si>
    <t>Haripur</t>
  </si>
  <si>
    <t>Mansehra</t>
  </si>
  <si>
    <t>Battagram</t>
  </si>
  <si>
    <t>Kohistan</t>
  </si>
  <si>
    <t>D.I.Khan</t>
  </si>
  <si>
    <t>Tank</t>
  </si>
  <si>
    <t>Bannu</t>
  </si>
  <si>
    <t>Lakki</t>
  </si>
  <si>
    <t>Chitral</t>
  </si>
  <si>
    <t>Swat</t>
  </si>
  <si>
    <t>Shangla</t>
  </si>
  <si>
    <t>Buner</t>
  </si>
  <si>
    <t>Malakand</t>
  </si>
  <si>
    <t>(In numbers)</t>
  </si>
  <si>
    <t>Year</t>
  </si>
  <si>
    <t>Cattle</t>
  </si>
  <si>
    <t>Buffaloes</t>
  </si>
  <si>
    <t>Sheep</t>
  </si>
  <si>
    <t>Goats</t>
  </si>
  <si>
    <t>(In Numbers)</t>
  </si>
  <si>
    <t>Poultry</t>
  </si>
  <si>
    <t>Camel</t>
  </si>
  <si>
    <t>Horse</t>
  </si>
  <si>
    <t>Asses</t>
  </si>
  <si>
    <t>Mules</t>
  </si>
  <si>
    <t>(Numbers)</t>
  </si>
  <si>
    <t>Young</t>
  </si>
  <si>
    <t>Table No. 1</t>
  </si>
  <si>
    <t>Table No. 2</t>
  </si>
  <si>
    <t>Table No. 3</t>
  </si>
  <si>
    <t>Table No. 9</t>
  </si>
  <si>
    <t>Table No. 10</t>
  </si>
  <si>
    <t>Table No. 11</t>
  </si>
  <si>
    <t>Table No. 4</t>
  </si>
  <si>
    <t>Mascu-line</t>
  </si>
  <si>
    <t>Femi-nine</t>
  </si>
  <si>
    <t>Hospitals</t>
  </si>
  <si>
    <t>Dispensaries</t>
  </si>
  <si>
    <t>Number of Slaughter Houses</t>
  </si>
  <si>
    <t>Table No. 5</t>
  </si>
  <si>
    <t>Table No. 6</t>
  </si>
  <si>
    <t>Table No. 7</t>
  </si>
  <si>
    <t>Table No. 8</t>
  </si>
  <si>
    <t>DISTRICT WISE LIVESTOCK POPULATION BY TYPE OF ANIMALS AND POULTRY BIRDS DURING LIVESTOCK CENSUS 2006</t>
  </si>
  <si>
    <t>Total Slaughtered</t>
  </si>
  <si>
    <t>Inside Slaughtered</t>
  </si>
  <si>
    <t>Outside Slaughtered</t>
  </si>
  <si>
    <t>Cows Inseminated</t>
  </si>
  <si>
    <t>Buffaloes Inseminated</t>
  </si>
  <si>
    <t>Animal Insemination Centres</t>
  </si>
  <si>
    <t>Sub Centres</t>
  </si>
  <si>
    <t>Khyber
Pakhtunkhwa</t>
  </si>
  <si>
    <t>NUMBER OF LIVESTOCK SLAUGHTERED IN KHYBER PAKHTUNKHWA</t>
  </si>
  <si>
    <t>Khyber Pakhtunkhwa</t>
  </si>
  <si>
    <t>DISTRICT WISE NUMBER OF ANIMALS INSEMINATION CENTRES IN KHYBER PAKHTUNKHWA</t>
  </si>
  <si>
    <t>Tor Ghar</t>
  </si>
  <si>
    <t>Dir Lower</t>
  </si>
  <si>
    <t>Dir Upper</t>
  </si>
  <si>
    <t xml:space="preserve">Kohat </t>
  </si>
  <si>
    <r>
      <rPr>
        <b/>
        <sz val="9"/>
        <rFont val="Arial"/>
        <family val="2"/>
      </rPr>
      <t xml:space="preserve">                                      Source:</t>
    </r>
    <r>
      <rPr>
        <sz val="9"/>
        <rFont val="Arial"/>
        <family val="2"/>
      </rPr>
      <t xml:space="preserve">   Directorate of Livestock &amp; Dairy Development Khyber Pakhtunkhwa, Peshawar</t>
    </r>
  </si>
  <si>
    <r>
      <t xml:space="preserve">Source:     </t>
    </r>
    <r>
      <rPr>
        <sz val="9"/>
        <rFont val="Arial"/>
        <family val="2"/>
      </rPr>
      <t>Directorate of Livestock &amp; Dairy Development Deptt: Khyber Pakhtunkhwa, Peshawar</t>
    </r>
  </si>
  <si>
    <r>
      <t xml:space="preserve">Source:    </t>
    </r>
    <r>
      <rPr>
        <sz val="9"/>
        <rFont val="Arial"/>
        <family val="2"/>
      </rPr>
      <t>Directorate of Livestock &amp; Dairy Development Deptt: Khyber Pakhtunkhwa, Peshawar</t>
    </r>
  </si>
  <si>
    <t>2017-18</t>
  </si>
  <si>
    <t xml:space="preserve">Bajaur </t>
  </si>
  <si>
    <t>Khyber</t>
  </si>
  <si>
    <t>Kurram</t>
  </si>
  <si>
    <t>Mohmand</t>
  </si>
  <si>
    <t>Orakzai</t>
  </si>
  <si>
    <t>N.Waziristan</t>
  </si>
  <si>
    <t>S.Waziristan</t>
  </si>
  <si>
    <t>2018-19</t>
  </si>
  <si>
    <t>(In 000 Numbers)</t>
  </si>
  <si>
    <t>Animals Treated</t>
  </si>
  <si>
    <t>Animals Protected</t>
  </si>
  <si>
    <t>Birds Protected</t>
  </si>
  <si>
    <t>Femin-ine</t>
  </si>
  <si>
    <r>
      <t xml:space="preserve">Source:     </t>
    </r>
    <r>
      <rPr>
        <sz val="10"/>
        <rFont val="Arial"/>
        <family val="2"/>
      </rPr>
      <t>Directorate of Livestock &amp; Dairy Development Deptt: Khyber Pakhtunkhwa, Peshawar</t>
    </r>
  </si>
  <si>
    <t>DISTRICT WISE NUMBER OF LIVESTOCK RECOGNIZED SLAUGHTER HOUSES IN KHYBER PAKHTUNKHWA</t>
  </si>
  <si>
    <t>DISTRICT WISE NUMBER OF LIVESTOCK (GOATS) SLAUGHTERED IN KHYBER PAKHTUNKHWA</t>
  </si>
  <si>
    <t>DISTRICT WISE NO.OF LIVESTOCK (CATTLE) SLAUGHTERED IN KHYBER PAKHTUNKHWA</t>
  </si>
  <si>
    <t>DISTRICT WISE NO.OF LIVESTOCK (BUFFALOES) SLAUGHTERED IN KHYBER PAKHTUNKHWA</t>
  </si>
  <si>
    <t>DISTRICT WISE NO.OF LIVESTOCK (SHEEP) SLAUGHTERED IN KHYBER PAKHTUNKHWA</t>
  </si>
  <si>
    <t>2019-20</t>
  </si>
  <si>
    <t>Large and Small animals Vaccination</t>
  </si>
  <si>
    <t>Birds Vaccination</t>
  </si>
  <si>
    <t>Artificial Insemination</t>
  </si>
  <si>
    <t>-</t>
  </si>
  <si>
    <r>
      <t xml:space="preserve">Note: </t>
    </r>
    <r>
      <rPr>
        <sz val="10"/>
        <rFont val="Arial"/>
        <family val="2"/>
      </rPr>
      <t>NMD's Figures repeated for 2018-19</t>
    </r>
  </si>
  <si>
    <t>Table No. 12</t>
  </si>
  <si>
    <t>DISTRICT WISE NO. OF VETERINARY HOSPITALS, DISPENSARIES AND CENTRES IN KHYBER PAKHTUNKHWA</t>
  </si>
  <si>
    <t>DISTRICT WISE NUMBER OF ANIMALS TREATED/ BIRDS PROTECTED &amp; ARTIFICIAL INSEMINATION BY MOBILE VETERINARY CLINICS (REGULAR) IN KHYBER PAKHTUNKHWA</t>
  </si>
  <si>
    <t>DISTRICT WISE NUMBER OF ANIMALS  INSEMINATED 
IN KHYBER PAKHTUNKHWA</t>
  </si>
  <si>
    <t>DISTRICT WISE NUMBER OF ANIMALS TREATED, ANIMALS/BIRDS PROTECTED IN VETERINARY HOSPITALS, DISPENSARIES AND CENTRES AGAINST CONTAGIOUS DISEASES IN KHYBER PAKHTUNKHWA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</si>
</sst>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1" x14ac:knownFonts="1">
    <font>
      <sz val="10"/>
      <name val="Arial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 Narrow"/>
      <family val="2"/>
    </font>
    <font>
      <b/>
      <sz val="14"/>
      <name val="Arial"/>
      <family val="2"/>
    </font>
    <font>
      <sz val="10"/>
      <name val="Arial Narrow"/>
      <family val="2"/>
    </font>
    <font>
      <b/>
      <sz val="9"/>
      <name val="Arial Narrow"/>
      <family val="2"/>
    </font>
    <font>
      <sz val="10"/>
      <color rgb="FF0F233D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10" fillId="0" borderId="0" applyFont="0" applyFill="0" applyBorder="0" applyAlignment="0" applyProtection="0"/>
  </cellStyleXfs>
  <cellXfs count="117">
    <xf numFmtId="0" fontId="0" fillId="0" borderId="0" xfId="0"/>
    <xf numFmtId="0" fontId="2" fillId="0" borderId="0" xfId="0" applyFont="1"/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/>
    <xf numFmtId="0" fontId="4" fillId="0" borderId="0" xfId="0" applyFont="1" applyAlignment="1">
      <alignment horizontal="right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/>
    <xf numFmtId="0" fontId="2" fillId="0" borderId="0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left" indent="4"/>
    </xf>
    <xf numFmtId="0" fontId="1" fillId="0" borderId="0" xfId="0" applyFont="1" applyFill="1"/>
    <xf numFmtId="0" fontId="4" fillId="0" borderId="0" xfId="0" applyFont="1" applyFill="1" applyAlignment="1">
      <alignment horizontal="right"/>
    </xf>
    <xf numFmtId="0" fontId="4" fillId="0" borderId="0" xfId="0" applyFont="1" applyFill="1"/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/>
    <xf numFmtId="3" fontId="3" fillId="0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right" vertical="center"/>
    </xf>
    <xf numFmtId="0" fontId="1" fillId="2" borderId="0" xfId="0" applyFont="1" applyFill="1"/>
    <xf numFmtId="0" fontId="3" fillId="2" borderId="1" xfId="0" applyFont="1" applyFill="1" applyBorder="1" applyAlignment="1">
      <alignment vertical="center" wrapText="1"/>
    </xf>
    <xf numFmtId="3" fontId="3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1" fillId="2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/>
    </xf>
    <xf numFmtId="0" fontId="2" fillId="2" borderId="0" xfId="0" applyFont="1" applyFill="1"/>
    <xf numFmtId="0" fontId="1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/>
    <xf numFmtId="1" fontId="2" fillId="0" borderId="1" xfId="0" applyNumberFormat="1" applyFont="1" applyFill="1" applyBorder="1" applyAlignment="1">
      <alignment horizontal="right" vertical="center"/>
    </xf>
    <xf numFmtId="3" fontId="2" fillId="2" borderId="1" xfId="1" applyNumberFormat="1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right" vertical="center"/>
    </xf>
    <xf numFmtId="0" fontId="0" fillId="3" borderId="0" xfId="0" applyFill="1"/>
    <xf numFmtId="0" fontId="2" fillId="3" borderId="0" xfId="0" applyFont="1" applyFill="1"/>
    <xf numFmtId="0" fontId="1" fillId="3" borderId="0" xfId="0" applyFont="1" applyFill="1" applyAlignment="1">
      <alignment horizontal="left" indent="4"/>
    </xf>
    <xf numFmtId="0" fontId="1" fillId="3" borderId="0" xfId="0" applyFont="1" applyFill="1"/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2" fillId="0" borderId="2" xfId="0" applyFont="1" applyFill="1" applyBorder="1" applyAlignment="1">
      <alignment horizontal="right"/>
    </xf>
    <xf numFmtId="3" fontId="2" fillId="0" borderId="1" xfId="1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vertical="center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vertical="center"/>
    </xf>
    <xf numFmtId="2" fontId="2" fillId="0" borderId="0" xfId="0" applyNumberFormat="1" applyFont="1" applyFill="1"/>
    <xf numFmtId="0" fontId="5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vertical="center"/>
    </xf>
    <xf numFmtId="1" fontId="7" fillId="0" borderId="0" xfId="0" applyNumberFormat="1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3" fontId="0" fillId="0" borderId="1" xfId="0" applyNumberFormat="1" applyFill="1" applyBorder="1" applyAlignment="1">
      <alignment horizontal="right" vertical="center"/>
    </xf>
    <xf numFmtId="0" fontId="0" fillId="0" borderId="0" xfId="0" applyFill="1"/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2" fontId="3" fillId="0" borderId="1" xfId="0" applyNumberFormat="1" applyFont="1" applyFill="1" applyBorder="1" applyAlignment="1">
      <alignment horizontal="right" vertical="center"/>
    </xf>
    <xf numFmtId="2" fontId="2" fillId="0" borderId="1" xfId="0" applyNumberFormat="1" applyFont="1" applyFill="1" applyBorder="1" applyAlignment="1">
      <alignment vertical="center"/>
    </xf>
    <xf numFmtId="164" fontId="2" fillId="0" borderId="1" xfId="1" applyNumberFormat="1" applyFont="1" applyFill="1" applyBorder="1" applyAlignment="1">
      <alignment horizontal="right" vertical="center"/>
    </xf>
    <xf numFmtId="2" fontId="2" fillId="0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Fill="1"/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4" fillId="0" borderId="1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right" vertical="center"/>
    </xf>
    <xf numFmtId="0" fontId="1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6" fillId="0" borderId="0" xfId="0" applyFont="1" applyFill="1" applyAlignment="1">
      <alignment vertical="top" wrapText="1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right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top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3" fillId="2" borderId="9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M40"/>
  <sheetViews>
    <sheetView tabSelected="1" view="pageBreakPreview" zoomScaleNormal="140" zoomScaleSheetLayoutView="100" workbookViewId="0">
      <pane ySplit="4" topLeftCell="A5" activePane="bottomLeft" state="frozen"/>
      <selection activeCell="E2" sqref="E2"/>
      <selection pane="bottomLeft" activeCell="E2" sqref="E2"/>
    </sheetView>
  </sheetViews>
  <sheetFormatPr defaultRowHeight="12.75" x14ac:dyDescent="0.2"/>
  <cols>
    <col min="1" max="1" width="13.85546875" style="9" bestFit="1" customWidth="1"/>
    <col min="2" max="9" width="6.28515625" style="9" customWidth="1"/>
    <col min="10" max="10" width="6.140625" style="9" customWidth="1"/>
    <col min="11" max="12" width="6.28515625" style="9" customWidth="1"/>
    <col min="13" max="13" width="4.85546875" style="9" customWidth="1"/>
    <col min="14" max="16384" width="9.140625" style="9"/>
  </cols>
  <sheetData>
    <row r="1" spans="1:13" ht="50.1" customHeight="1" x14ac:dyDescent="0.2">
      <c r="A1" s="86" t="s">
        <v>101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s="12" customFormat="1" ht="12" x14ac:dyDescent="0.2">
      <c r="A2" s="12" t="s">
        <v>39</v>
      </c>
      <c r="I2" s="66"/>
      <c r="M2" s="66" t="s">
        <v>31</v>
      </c>
    </row>
    <row r="3" spans="1:13" ht="18" customHeight="1" x14ac:dyDescent="0.2">
      <c r="A3" s="85" t="s">
        <v>0</v>
      </c>
      <c r="B3" s="85" t="s">
        <v>74</v>
      </c>
      <c r="C3" s="85"/>
      <c r="D3" s="85"/>
      <c r="E3" s="85"/>
      <c r="F3" s="85" t="s">
        <v>82</v>
      </c>
      <c r="G3" s="85"/>
      <c r="H3" s="85"/>
      <c r="I3" s="85"/>
      <c r="J3" s="85" t="s">
        <v>94</v>
      </c>
      <c r="K3" s="85"/>
      <c r="L3" s="85"/>
      <c r="M3" s="85"/>
    </row>
    <row r="4" spans="1:13" ht="71.25" customHeight="1" x14ac:dyDescent="0.2">
      <c r="A4" s="85"/>
      <c r="B4" s="25" t="s">
        <v>2</v>
      </c>
      <c r="C4" s="25" t="s">
        <v>48</v>
      </c>
      <c r="D4" s="25" t="s">
        <v>49</v>
      </c>
      <c r="E4" s="25" t="s">
        <v>1</v>
      </c>
      <c r="F4" s="25" t="s">
        <v>2</v>
      </c>
      <c r="G4" s="25" t="s">
        <v>48</v>
      </c>
      <c r="H4" s="25" t="s">
        <v>49</v>
      </c>
      <c r="I4" s="25" t="s">
        <v>1</v>
      </c>
      <c r="J4" s="25" t="s">
        <v>2</v>
      </c>
      <c r="K4" s="25" t="s">
        <v>48</v>
      </c>
      <c r="L4" s="25" t="s">
        <v>49</v>
      </c>
      <c r="M4" s="25" t="s">
        <v>1</v>
      </c>
    </row>
    <row r="5" spans="1:13" ht="25.5" customHeight="1" x14ac:dyDescent="0.2">
      <c r="A5" s="6" t="s">
        <v>63</v>
      </c>
      <c r="B5" s="17">
        <f>SUM(B6:B37)</f>
        <v>1772</v>
      </c>
      <c r="C5" s="17">
        <f t="shared" ref="C5:E5" si="0">SUM(C6:C37)</f>
        <v>147</v>
      </c>
      <c r="D5" s="17">
        <f t="shared" si="0"/>
        <v>775</v>
      </c>
      <c r="E5" s="17">
        <f t="shared" si="0"/>
        <v>850</v>
      </c>
      <c r="F5" s="17">
        <f t="shared" ref="F5:K5" si="1">SUM(F6:F37)</f>
        <v>1800</v>
      </c>
      <c r="G5" s="17">
        <f t="shared" si="1"/>
        <v>150</v>
      </c>
      <c r="H5" s="17">
        <f t="shared" si="1"/>
        <v>786</v>
      </c>
      <c r="I5" s="17">
        <f t="shared" si="1"/>
        <v>864</v>
      </c>
      <c r="J5" s="17">
        <f t="shared" si="1"/>
        <v>1759</v>
      </c>
      <c r="K5" s="17">
        <f t="shared" si="1"/>
        <v>150</v>
      </c>
      <c r="L5" s="17">
        <f t="shared" ref="L5:M5" si="2">SUM(L6:L37)</f>
        <v>795</v>
      </c>
      <c r="M5" s="17">
        <f t="shared" si="2"/>
        <v>814</v>
      </c>
    </row>
    <row r="6" spans="1:13" s="45" customFormat="1" ht="15.75" customHeight="1" x14ac:dyDescent="0.2">
      <c r="A6" s="2" t="s">
        <v>11</v>
      </c>
      <c r="B6" s="18">
        <f t="shared" ref="B6:B37" si="3">SUM(C6:E6)</f>
        <v>46</v>
      </c>
      <c r="C6" s="18">
        <v>3</v>
      </c>
      <c r="D6" s="18">
        <v>14</v>
      </c>
      <c r="E6" s="18">
        <v>29</v>
      </c>
      <c r="F6" s="18">
        <f t="shared" ref="F6:F37" si="4">SUM(G6:I6)</f>
        <v>46</v>
      </c>
      <c r="G6" s="18">
        <v>3</v>
      </c>
      <c r="H6" s="18">
        <v>14</v>
      </c>
      <c r="I6" s="18">
        <v>29</v>
      </c>
      <c r="J6" s="18">
        <f t="shared" ref="J6:J37" si="5">SUM(K6:M6)</f>
        <v>46</v>
      </c>
      <c r="K6" s="18">
        <v>3</v>
      </c>
      <c r="L6" s="18">
        <v>14</v>
      </c>
      <c r="M6" s="18">
        <v>29</v>
      </c>
    </row>
    <row r="7" spans="1:13" s="45" customFormat="1" ht="15.75" customHeight="1" x14ac:dyDescent="0.2">
      <c r="A7" s="2" t="s">
        <v>75</v>
      </c>
      <c r="B7" s="18">
        <f t="shared" si="3"/>
        <v>48</v>
      </c>
      <c r="C7" s="18">
        <v>3</v>
      </c>
      <c r="D7" s="18">
        <v>19</v>
      </c>
      <c r="E7" s="18">
        <v>26</v>
      </c>
      <c r="F7" s="18">
        <f t="shared" si="4"/>
        <v>49</v>
      </c>
      <c r="G7" s="34">
        <v>3</v>
      </c>
      <c r="H7" s="34">
        <v>19</v>
      </c>
      <c r="I7" s="34">
        <v>27</v>
      </c>
      <c r="J7" s="18">
        <f t="shared" si="5"/>
        <v>49</v>
      </c>
      <c r="K7" s="18">
        <v>3</v>
      </c>
      <c r="L7" s="18">
        <v>19</v>
      </c>
      <c r="M7" s="18">
        <v>27</v>
      </c>
    </row>
    <row r="8" spans="1:13" s="45" customFormat="1" ht="16.350000000000001" customHeight="1" x14ac:dyDescent="0.2">
      <c r="A8" s="2" t="s">
        <v>18</v>
      </c>
      <c r="B8" s="18">
        <f t="shared" si="3"/>
        <v>157</v>
      </c>
      <c r="C8" s="18">
        <f>6+1</f>
        <v>7</v>
      </c>
      <c r="D8" s="18">
        <f>53+26</f>
        <v>79</v>
      </c>
      <c r="E8" s="18">
        <f>17+54</f>
        <v>71</v>
      </c>
      <c r="F8" s="18">
        <f t="shared" si="4"/>
        <v>158</v>
      </c>
      <c r="G8" s="18">
        <f>6+1</f>
        <v>7</v>
      </c>
      <c r="H8" s="18">
        <f>53+26</f>
        <v>79</v>
      </c>
      <c r="I8" s="18">
        <f>17+55</f>
        <v>72</v>
      </c>
      <c r="J8" s="18">
        <f t="shared" si="5"/>
        <v>141</v>
      </c>
      <c r="K8" s="18">
        <f>6+1</f>
        <v>7</v>
      </c>
      <c r="L8" s="18">
        <f>53+27</f>
        <v>80</v>
      </c>
      <c r="M8" s="18">
        <f>17+37</f>
        <v>54</v>
      </c>
    </row>
    <row r="9" spans="1:13" s="45" customFormat="1" ht="16.350000000000001" customHeight="1" x14ac:dyDescent="0.2">
      <c r="A9" s="2" t="s">
        <v>14</v>
      </c>
      <c r="B9" s="18">
        <f t="shared" si="3"/>
        <v>21</v>
      </c>
      <c r="C9" s="18">
        <v>2</v>
      </c>
      <c r="D9" s="18">
        <v>13</v>
      </c>
      <c r="E9" s="18">
        <v>6</v>
      </c>
      <c r="F9" s="18">
        <f t="shared" si="4"/>
        <v>21</v>
      </c>
      <c r="G9" s="18">
        <v>2</v>
      </c>
      <c r="H9" s="18">
        <v>13</v>
      </c>
      <c r="I9" s="18">
        <v>6</v>
      </c>
      <c r="J9" s="18">
        <f t="shared" si="5"/>
        <v>21</v>
      </c>
      <c r="K9" s="18">
        <v>2</v>
      </c>
      <c r="L9" s="18">
        <v>13</v>
      </c>
      <c r="M9" s="18">
        <v>6</v>
      </c>
    </row>
    <row r="10" spans="1:13" s="45" customFormat="1" ht="16.350000000000001" customHeight="1" x14ac:dyDescent="0.2">
      <c r="A10" s="2" t="s">
        <v>23</v>
      </c>
      <c r="B10" s="18">
        <f t="shared" si="3"/>
        <v>27</v>
      </c>
      <c r="C10" s="18">
        <v>5</v>
      </c>
      <c r="D10" s="18">
        <v>16</v>
      </c>
      <c r="E10" s="18">
        <v>6</v>
      </c>
      <c r="F10" s="18">
        <f t="shared" si="4"/>
        <v>27</v>
      </c>
      <c r="G10" s="18">
        <v>5</v>
      </c>
      <c r="H10" s="18">
        <v>16</v>
      </c>
      <c r="I10" s="18">
        <v>6</v>
      </c>
      <c r="J10" s="18">
        <f t="shared" si="5"/>
        <v>27</v>
      </c>
      <c r="K10" s="18">
        <v>5</v>
      </c>
      <c r="L10" s="18">
        <v>16</v>
      </c>
      <c r="M10" s="18">
        <v>6</v>
      </c>
    </row>
    <row r="11" spans="1:13" s="45" customFormat="1" ht="16.350000000000001" customHeight="1" x14ac:dyDescent="0.2">
      <c r="A11" s="2" t="s">
        <v>5</v>
      </c>
      <c r="B11" s="18">
        <f t="shared" si="3"/>
        <v>42</v>
      </c>
      <c r="C11" s="18">
        <v>3</v>
      </c>
      <c r="D11" s="18">
        <v>12</v>
      </c>
      <c r="E11" s="18">
        <v>27</v>
      </c>
      <c r="F11" s="18">
        <f t="shared" si="4"/>
        <v>42</v>
      </c>
      <c r="G11" s="18">
        <v>3</v>
      </c>
      <c r="H11" s="18">
        <v>12</v>
      </c>
      <c r="I11" s="18">
        <v>27</v>
      </c>
      <c r="J11" s="18">
        <f t="shared" si="5"/>
        <v>42</v>
      </c>
      <c r="K11" s="18">
        <v>3</v>
      </c>
      <c r="L11" s="18">
        <v>12</v>
      </c>
      <c r="M11" s="18">
        <v>27</v>
      </c>
    </row>
    <row r="12" spans="1:13" s="45" customFormat="1" ht="16.350000000000001" customHeight="1" x14ac:dyDescent="0.2">
      <c r="A12" s="2" t="s">
        <v>20</v>
      </c>
      <c r="B12" s="18">
        <f t="shared" si="3"/>
        <v>27</v>
      </c>
      <c r="C12" s="18">
        <v>6</v>
      </c>
      <c r="D12" s="18">
        <v>18</v>
      </c>
      <c r="E12" s="18">
        <v>3</v>
      </c>
      <c r="F12" s="18">
        <f t="shared" si="4"/>
        <v>27</v>
      </c>
      <c r="G12" s="18">
        <v>6</v>
      </c>
      <c r="H12" s="18">
        <v>18</v>
      </c>
      <c r="I12" s="18">
        <v>3</v>
      </c>
      <c r="J12" s="18">
        <f t="shared" si="5"/>
        <v>27</v>
      </c>
      <c r="K12" s="18">
        <v>6</v>
      </c>
      <c r="L12" s="18">
        <v>18</v>
      </c>
      <c r="M12" s="18">
        <v>3</v>
      </c>
    </row>
    <row r="13" spans="1:13" s="45" customFormat="1" ht="16.350000000000001" customHeight="1" x14ac:dyDescent="0.2">
      <c r="A13" s="2" t="s">
        <v>16</v>
      </c>
      <c r="B13" s="18">
        <f t="shared" si="3"/>
        <v>101</v>
      </c>
      <c r="C13" s="18">
        <f>5+3</f>
        <v>8</v>
      </c>
      <c r="D13" s="18">
        <f>18+18</f>
        <v>36</v>
      </c>
      <c r="E13" s="18">
        <f>16+41</f>
        <v>57</v>
      </c>
      <c r="F13" s="18">
        <f t="shared" si="4"/>
        <v>101</v>
      </c>
      <c r="G13" s="18">
        <f>5+4</f>
        <v>9</v>
      </c>
      <c r="H13" s="18">
        <f>18+19</f>
        <v>37</v>
      </c>
      <c r="I13" s="18">
        <f>16+39</f>
        <v>55</v>
      </c>
      <c r="J13" s="18">
        <f t="shared" si="5"/>
        <v>79</v>
      </c>
      <c r="K13" s="18">
        <f>5+4</f>
        <v>9</v>
      </c>
      <c r="L13" s="18">
        <f>18+23</f>
        <v>41</v>
      </c>
      <c r="M13" s="18">
        <f>16+13</f>
        <v>29</v>
      </c>
    </row>
    <row r="14" spans="1:13" s="45" customFormat="1" ht="16.350000000000001" customHeight="1" x14ac:dyDescent="0.2">
      <c r="A14" s="2" t="s">
        <v>68</v>
      </c>
      <c r="B14" s="18">
        <f t="shared" si="3"/>
        <v>42</v>
      </c>
      <c r="C14" s="18">
        <v>10</v>
      </c>
      <c r="D14" s="18">
        <v>28</v>
      </c>
      <c r="E14" s="18">
        <v>4</v>
      </c>
      <c r="F14" s="18">
        <f t="shared" si="4"/>
        <v>42</v>
      </c>
      <c r="G14" s="18">
        <v>10</v>
      </c>
      <c r="H14" s="18">
        <v>28</v>
      </c>
      <c r="I14" s="18">
        <v>4</v>
      </c>
      <c r="J14" s="18">
        <f t="shared" si="5"/>
        <v>42</v>
      </c>
      <c r="K14" s="18">
        <v>10</v>
      </c>
      <c r="L14" s="18">
        <v>28</v>
      </c>
      <c r="M14" s="18">
        <v>4</v>
      </c>
    </row>
    <row r="15" spans="1:13" s="45" customFormat="1" ht="16.350000000000001" customHeight="1" x14ac:dyDescent="0.2">
      <c r="A15" s="2" t="s">
        <v>69</v>
      </c>
      <c r="B15" s="18">
        <f t="shared" si="3"/>
        <v>23</v>
      </c>
      <c r="C15" s="18">
        <v>4</v>
      </c>
      <c r="D15" s="18">
        <v>13</v>
      </c>
      <c r="E15" s="18">
        <v>6</v>
      </c>
      <c r="F15" s="18">
        <f t="shared" si="4"/>
        <v>23</v>
      </c>
      <c r="G15" s="18">
        <v>4</v>
      </c>
      <c r="H15" s="18">
        <v>13</v>
      </c>
      <c r="I15" s="18">
        <v>6</v>
      </c>
      <c r="J15" s="18">
        <f t="shared" si="5"/>
        <v>23</v>
      </c>
      <c r="K15" s="18">
        <v>4</v>
      </c>
      <c r="L15" s="18">
        <v>13</v>
      </c>
      <c r="M15" s="18">
        <v>6</v>
      </c>
    </row>
    <row r="16" spans="1:13" s="45" customFormat="1" ht="16.350000000000001" customHeight="1" x14ac:dyDescent="0.2">
      <c r="A16" s="2" t="s">
        <v>9</v>
      </c>
      <c r="B16" s="18">
        <f t="shared" si="3"/>
        <v>14</v>
      </c>
      <c r="C16" s="18">
        <v>2</v>
      </c>
      <c r="D16" s="18">
        <v>8</v>
      </c>
      <c r="E16" s="18">
        <v>4</v>
      </c>
      <c r="F16" s="18">
        <f t="shared" si="4"/>
        <v>14</v>
      </c>
      <c r="G16" s="18">
        <v>2</v>
      </c>
      <c r="H16" s="18">
        <v>8</v>
      </c>
      <c r="I16" s="18">
        <v>4</v>
      </c>
      <c r="J16" s="18">
        <f t="shared" si="5"/>
        <v>14</v>
      </c>
      <c r="K16" s="18">
        <v>2</v>
      </c>
      <c r="L16" s="18">
        <v>8</v>
      </c>
      <c r="M16" s="18">
        <v>4</v>
      </c>
    </row>
    <row r="17" spans="1:13" s="45" customFormat="1" ht="16.350000000000001" customHeight="1" x14ac:dyDescent="0.2">
      <c r="A17" s="2" t="s">
        <v>12</v>
      </c>
      <c r="B17" s="18">
        <f t="shared" si="3"/>
        <v>41</v>
      </c>
      <c r="C17" s="18">
        <v>3</v>
      </c>
      <c r="D17" s="18">
        <v>17</v>
      </c>
      <c r="E17" s="18">
        <v>21</v>
      </c>
      <c r="F17" s="18">
        <f t="shared" si="4"/>
        <v>41</v>
      </c>
      <c r="G17" s="18">
        <v>3</v>
      </c>
      <c r="H17" s="18">
        <v>17</v>
      </c>
      <c r="I17" s="18">
        <v>21</v>
      </c>
      <c r="J17" s="18">
        <f t="shared" si="5"/>
        <v>41</v>
      </c>
      <c r="K17" s="18">
        <v>3</v>
      </c>
      <c r="L17" s="18">
        <v>17</v>
      </c>
      <c r="M17" s="18">
        <v>21</v>
      </c>
    </row>
    <row r="18" spans="1:13" s="45" customFormat="1" ht="16.350000000000001" customHeight="1" x14ac:dyDescent="0.2">
      <c r="A18" s="2" t="s">
        <v>10</v>
      </c>
      <c r="B18" s="18">
        <f t="shared" si="3"/>
        <v>38</v>
      </c>
      <c r="C18" s="18">
        <v>4</v>
      </c>
      <c r="D18" s="18">
        <v>21</v>
      </c>
      <c r="E18" s="18">
        <v>13</v>
      </c>
      <c r="F18" s="18">
        <f t="shared" si="4"/>
        <v>38</v>
      </c>
      <c r="G18" s="18">
        <v>4</v>
      </c>
      <c r="H18" s="18">
        <v>21</v>
      </c>
      <c r="I18" s="18">
        <v>13</v>
      </c>
      <c r="J18" s="18">
        <f t="shared" si="5"/>
        <v>38</v>
      </c>
      <c r="K18" s="18">
        <v>4</v>
      </c>
      <c r="L18" s="18">
        <v>21</v>
      </c>
      <c r="M18" s="18">
        <v>13</v>
      </c>
    </row>
    <row r="19" spans="1:13" s="45" customFormat="1" ht="16.350000000000001" customHeight="1" x14ac:dyDescent="0.2">
      <c r="A19" s="2" t="s">
        <v>76</v>
      </c>
      <c r="B19" s="18">
        <f t="shared" si="3"/>
        <v>80</v>
      </c>
      <c r="C19" s="18">
        <v>3</v>
      </c>
      <c r="D19" s="18">
        <v>12</v>
      </c>
      <c r="E19" s="18">
        <v>65</v>
      </c>
      <c r="F19" s="18">
        <f t="shared" si="4"/>
        <v>90</v>
      </c>
      <c r="G19" s="18">
        <v>3</v>
      </c>
      <c r="H19" s="18">
        <v>12</v>
      </c>
      <c r="I19" s="18">
        <v>75</v>
      </c>
      <c r="J19" s="18">
        <f t="shared" si="5"/>
        <v>90</v>
      </c>
      <c r="K19" s="18">
        <v>3</v>
      </c>
      <c r="L19" s="18">
        <v>12</v>
      </c>
      <c r="M19" s="18">
        <v>75</v>
      </c>
    </row>
    <row r="20" spans="1:13" s="45" customFormat="1" ht="16.350000000000001" customHeight="1" x14ac:dyDescent="0.2">
      <c r="A20" s="2" t="s">
        <v>8</v>
      </c>
      <c r="B20" s="18">
        <f t="shared" si="3"/>
        <v>48</v>
      </c>
      <c r="C20" s="18">
        <f>3+0</f>
        <v>3</v>
      </c>
      <c r="D20" s="18">
        <f>16+8</f>
        <v>24</v>
      </c>
      <c r="E20" s="18">
        <f>8+13</f>
        <v>21</v>
      </c>
      <c r="F20" s="18">
        <f t="shared" si="4"/>
        <v>48</v>
      </c>
      <c r="G20" s="18">
        <v>3</v>
      </c>
      <c r="H20" s="18">
        <f>16+8</f>
        <v>24</v>
      </c>
      <c r="I20" s="18">
        <f>8+13</f>
        <v>21</v>
      </c>
      <c r="J20" s="18">
        <f t="shared" si="5"/>
        <v>40</v>
      </c>
      <c r="K20" s="18">
        <v>3</v>
      </c>
      <c r="L20" s="18">
        <f>16+9</f>
        <v>25</v>
      </c>
      <c r="M20" s="18">
        <f>8+4</f>
        <v>12</v>
      </c>
    </row>
    <row r="21" spans="1:13" s="45" customFormat="1" ht="16.350000000000001" customHeight="1" x14ac:dyDescent="0.2">
      <c r="A21" s="2" t="s">
        <v>15</v>
      </c>
      <c r="B21" s="18">
        <f t="shared" si="3"/>
        <v>34</v>
      </c>
      <c r="C21" s="18">
        <v>3</v>
      </c>
      <c r="D21" s="18">
        <v>29</v>
      </c>
      <c r="E21" s="18">
        <v>2</v>
      </c>
      <c r="F21" s="18">
        <f t="shared" si="4"/>
        <v>34</v>
      </c>
      <c r="G21" s="18">
        <v>3</v>
      </c>
      <c r="H21" s="18">
        <v>29</v>
      </c>
      <c r="I21" s="18">
        <v>2</v>
      </c>
      <c r="J21" s="18">
        <f t="shared" si="5"/>
        <v>34</v>
      </c>
      <c r="K21" s="18">
        <v>3</v>
      </c>
      <c r="L21" s="18">
        <v>29</v>
      </c>
      <c r="M21" s="18">
        <v>2</v>
      </c>
    </row>
    <row r="22" spans="1:13" s="45" customFormat="1" ht="16.350000000000001" customHeight="1" x14ac:dyDescent="0.2">
      <c r="A22" s="2" t="s">
        <v>77</v>
      </c>
      <c r="B22" s="18">
        <f t="shared" si="3"/>
        <v>75</v>
      </c>
      <c r="C22" s="18">
        <v>4</v>
      </c>
      <c r="D22" s="18">
        <v>24</v>
      </c>
      <c r="E22" s="18">
        <v>47</v>
      </c>
      <c r="F22" s="18">
        <f t="shared" si="4"/>
        <v>75</v>
      </c>
      <c r="G22" s="34">
        <v>4</v>
      </c>
      <c r="H22" s="34">
        <v>24</v>
      </c>
      <c r="I22" s="34">
        <v>47</v>
      </c>
      <c r="J22" s="18">
        <f t="shared" si="5"/>
        <v>75</v>
      </c>
      <c r="K22" s="18">
        <v>4</v>
      </c>
      <c r="L22" s="18">
        <v>24</v>
      </c>
      <c r="M22" s="18">
        <v>47</v>
      </c>
    </row>
    <row r="23" spans="1:13" s="45" customFormat="1" ht="16.350000000000001" customHeight="1" x14ac:dyDescent="0.2">
      <c r="A23" s="2" t="s">
        <v>19</v>
      </c>
      <c r="B23" s="18">
        <f t="shared" si="3"/>
        <v>50</v>
      </c>
      <c r="C23" s="18">
        <v>3</v>
      </c>
      <c r="D23" s="18">
        <v>27</v>
      </c>
      <c r="E23" s="18">
        <v>20</v>
      </c>
      <c r="F23" s="18">
        <f t="shared" si="4"/>
        <v>50</v>
      </c>
      <c r="G23" s="18">
        <v>3</v>
      </c>
      <c r="H23" s="18">
        <v>27</v>
      </c>
      <c r="I23" s="18">
        <v>20</v>
      </c>
      <c r="J23" s="18">
        <f t="shared" si="5"/>
        <v>50</v>
      </c>
      <c r="K23" s="18">
        <v>3</v>
      </c>
      <c r="L23" s="18">
        <v>27</v>
      </c>
      <c r="M23" s="18">
        <v>20</v>
      </c>
    </row>
    <row r="24" spans="1:13" s="45" customFormat="1" ht="16.350000000000001" customHeight="1" x14ac:dyDescent="0.2">
      <c r="A24" s="2" t="s">
        <v>24</v>
      </c>
      <c r="B24" s="18">
        <f t="shared" si="3"/>
        <v>33</v>
      </c>
      <c r="C24" s="18">
        <v>6</v>
      </c>
      <c r="D24" s="18">
        <v>22</v>
      </c>
      <c r="E24" s="18">
        <v>5</v>
      </c>
      <c r="F24" s="18">
        <f t="shared" si="4"/>
        <v>33</v>
      </c>
      <c r="G24" s="18">
        <v>6</v>
      </c>
      <c r="H24" s="18">
        <v>22</v>
      </c>
      <c r="I24" s="18">
        <v>5</v>
      </c>
      <c r="J24" s="18">
        <f t="shared" si="5"/>
        <v>33</v>
      </c>
      <c r="K24" s="18">
        <v>6</v>
      </c>
      <c r="L24" s="18">
        <v>22</v>
      </c>
      <c r="M24" s="18">
        <v>5</v>
      </c>
    </row>
    <row r="25" spans="1:13" s="45" customFormat="1" ht="16.350000000000001" customHeight="1" x14ac:dyDescent="0.2">
      <c r="A25" s="2" t="s">
        <v>13</v>
      </c>
      <c r="B25" s="18">
        <f t="shared" si="3"/>
        <v>56</v>
      </c>
      <c r="C25" s="18">
        <v>6</v>
      </c>
      <c r="D25" s="18">
        <v>22</v>
      </c>
      <c r="E25" s="18">
        <v>28</v>
      </c>
      <c r="F25" s="18">
        <f t="shared" si="4"/>
        <v>56</v>
      </c>
      <c r="G25" s="18">
        <v>6</v>
      </c>
      <c r="H25" s="18">
        <v>22</v>
      </c>
      <c r="I25" s="18">
        <v>28</v>
      </c>
      <c r="J25" s="18">
        <f t="shared" si="5"/>
        <v>56</v>
      </c>
      <c r="K25" s="18">
        <v>6</v>
      </c>
      <c r="L25" s="18">
        <v>22</v>
      </c>
      <c r="M25" s="18">
        <v>28</v>
      </c>
    </row>
    <row r="26" spans="1:13" s="45" customFormat="1" ht="16.350000000000001" customHeight="1" x14ac:dyDescent="0.2">
      <c r="A26" s="2" t="s">
        <v>6</v>
      </c>
      <c r="B26" s="18">
        <f t="shared" si="3"/>
        <v>59</v>
      </c>
      <c r="C26" s="18">
        <v>5</v>
      </c>
      <c r="D26" s="18">
        <v>26</v>
      </c>
      <c r="E26" s="18">
        <v>28</v>
      </c>
      <c r="F26" s="18">
        <f t="shared" si="4"/>
        <v>59</v>
      </c>
      <c r="G26" s="18">
        <v>5</v>
      </c>
      <c r="H26" s="18">
        <v>26</v>
      </c>
      <c r="I26" s="18">
        <v>28</v>
      </c>
      <c r="J26" s="18">
        <f t="shared" si="5"/>
        <v>59</v>
      </c>
      <c r="K26" s="18">
        <v>5</v>
      </c>
      <c r="L26" s="18">
        <v>26</v>
      </c>
      <c r="M26" s="18">
        <v>28</v>
      </c>
    </row>
    <row r="27" spans="1:13" s="45" customFormat="1" ht="16.350000000000001" customHeight="1" x14ac:dyDescent="0.2">
      <c r="A27" s="2" t="s">
        <v>78</v>
      </c>
      <c r="B27" s="18">
        <f t="shared" si="3"/>
        <v>88</v>
      </c>
      <c r="C27" s="18">
        <v>3</v>
      </c>
      <c r="D27" s="18">
        <v>18</v>
      </c>
      <c r="E27" s="18">
        <v>67</v>
      </c>
      <c r="F27" s="18">
        <f t="shared" si="4"/>
        <v>88</v>
      </c>
      <c r="G27" s="18">
        <v>3</v>
      </c>
      <c r="H27" s="18">
        <v>18</v>
      </c>
      <c r="I27" s="18">
        <v>67</v>
      </c>
      <c r="J27" s="18">
        <f t="shared" si="5"/>
        <v>88</v>
      </c>
      <c r="K27" s="18">
        <v>3</v>
      </c>
      <c r="L27" s="18">
        <v>18</v>
      </c>
      <c r="M27" s="18">
        <v>67</v>
      </c>
    </row>
    <row r="28" spans="1:13" s="45" customFormat="1" ht="16.350000000000001" customHeight="1" x14ac:dyDescent="0.2">
      <c r="A28" s="2" t="s">
        <v>80</v>
      </c>
      <c r="B28" s="18">
        <f t="shared" si="3"/>
        <v>119</v>
      </c>
      <c r="C28" s="18">
        <v>6</v>
      </c>
      <c r="D28" s="18">
        <v>71</v>
      </c>
      <c r="E28" s="18">
        <v>42</v>
      </c>
      <c r="F28" s="18">
        <f t="shared" si="4"/>
        <v>129</v>
      </c>
      <c r="G28" s="18">
        <v>7</v>
      </c>
      <c r="H28" s="18">
        <v>79</v>
      </c>
      <c r="I28" s="18">
        <v>43</v>
      </c>
      <c r="J28" s="18">
        <f t="shared" si="5"/>
        <v>129</v>
      </c>
      <c r="K28" s="18">
        <v>7</v>
      </c>
      <c r="L28" s="18">
        <v>79</v>
      </c>
      <c r="M28" s="18">
        <v>43</v>
      </c>
    </row>
    <row r="29" spans="1:13" s="45" customFormat="1" ht="16.350000000000001" customHeight="1" x14ac:dyDescent="0.2">
      <c r="A29" s="2" t="s">
        <v>4</v>
      </c>
      <c r="B29" s="18">
        <f t="shared" si="3"/>
        <v>42</v>
      </c>
      <c r="C29" s="18">
        <v>4</v>
      </c>
      <c r="D29" s="18">
        <v>14</v>
      </c>
      <c r="E29" s="18">
        <v>24</v>
      </c>
      <c r="F29" s="18">
        <f t="shared" si="4"/>
        <v>42</v>
      </c>
      <c r="G29" s="18">
        <v>4</v>
      </c>
      <c r="H29" s="18">
        <v>14</v>
      </c>
      <c r="I29" s="18">
        <v>24</v>
      </c>
      <c r="J29" s="18">
        <f t="shared" si="5"/>
        <v>42</v>
      </c>
      <c r="K29" s="18">
        <v>4</v>
      </c>
      <c r="L29" s="18">
        <v>14</v>
      </c>
      <c r="M29" s="18">
        <v>24</v>
      </c>
    </row>
    <row r="30" spans="1:13" s="45" customFormat="1" ht="16.350000000000001" customHeight="1" x14ac:dyDescent="0.2">
      <c r="A30" s="2" t="s">
        <v>79</v>
      </c>
      <c r="B30" s="18">
        <f t="shared" si="3"/>
        <v>84</v>
      </c>
      <c r="C30" s="18">
        <v>4</v>
      </c>
      <c r="D30" s="18">
        <v>22</v>
      </c>
      <c r="E30" s="18">
        <v>58</v>
      </c>
      <c r="F30" s="18">
        <f t="shared" si="4"/>
        <v>90</v>
      </c>
      <c r="G30" s="18">
        <v>4</v>
      </c>
      <c r="H30" s="18">
        <v>25</v>
      </c>
      <c r="I30" s="18">
        <v>61</v>
      </c>
      <c r="J30" s="18">
        <f t="shared" si="5"/>
        <v>90</v>
      </c>
      <c r="K30" s="18">
        <v>4</v>
      </c>
      <c r="L30" s="18">
        <v>25</v>
      </c>
      <c r="M30" s="18">
        <v>61</v>
      </c>
    </row>
    <row r="31" spans="1:13" s="58" customFormat="1" ht="16.350000000000001" customHeight="1" x14ac:dyDescent="0.2">
      <c r="A31" s="2" t="s">
        <v>3</v>
      </c>
      <c r="B31" s="18">
        <f t="shared" si="3"/>
        <v>76</v>
      </c>
      <c r="C31" s="18">
        <f>5+1</f>
        <v>6</v>
      </c>
      <c r="D31" s="18">
        <f>21+8</f>
        <v>29</v>
      </c>
      <c r="E31" s="18">
        <f>28+13</f>
        <v>41</v>
      </c>
      <c r="F31" s="18">
        <f t="shared" si="4"/>
        <v>76</v>
      </c>
      <c r="G31" s="18">
        <f>5+1</f>
        <v>6</v>
      </c>
      <c r="H31" s="18">
        <f>21+8</f>
        <v>29</v>
      </c>
      <c r="I31" s="18">
        <f>28+13</f>
        <v>41</v>
      </c>
      <c r="J31" s="18">
        <f t="shared" si="5"/>
        <v>68</v>
      </c>
      <c r="K31" s="18">
        <f>5+1</f>
        <v>6</v>
      </c>
      <c r="L31" s="18">
        <f>21+9</f>
        <v>30</v>
      </c>
      <c r="M31" s="18">
        <f>28+4</f>
        <v>32</v>
      </c>
    </row>
    <row r="32" spans="1:13" s="45" customFormat="1" ht="16.350000000000001" customHeight="1" x14ac:dyDescent="0.2">
      <c r="A32" s="2" t="s">
        <v>81</v>
      </c>
      <c r="B32" s="18">
        <f t="shared" si="3"/>
        <v>102</v>
      </c>
      <c r="C32" s="18">
        <v>3</v>
      </c>
      <c r="D32" s="18">
        <v>22</v>
      </c>
      <c r="E32" s="18">
        <v>77</v>
      </c>
      <c r="F32" s="18">
        <f t="shared" si="4"/>
        <v>102</v>
      </c>
      <c r="G32" s="18">
        <v>4</v>
      </c>
      <c r="H32" s="18">
        <v>21</v>
      </c>
      <c r="I32" s="18">
        <v>77</v>
      </c>
      <c r="J32" s="18">
        <f t="shared" si="5"/>
        <v>104</v>
      </c>
      <c r="K32" s="18">
        <v>4</v>
      </c>
      <c r="L32" s="18">
        <v>23</v>
      </c>
      <c r="M32" s="18">
        <v>77</v>
      </c>
    </row>
    <row r="33" spans="1:13" s="58" customFormat="1" ht="16.350000000000001" customHeight="1" x14ac:dyDescent="0.2">
      <c r="A33" s="2" t="s">
        <v>22</v>
      </c>
      <c r="B33" s="18">
        <f t="shared" si="3"/>
        <v>64</v>
      </c>
      <c r="C33" s="18">
        <v>9</v>
      </c>
      <c r="D33" s="18">
        <v>40</v>
      </c>
      <c r="E33" s="18">
        <v>15</v>
      </c>
      <c r="F33" s="18">
        <f t="shared" si="4"/>
        <v>64</v>
      </c>
      <c r="G33" s="18">
        <v>9</v>
      </c>
      <c r="H33" s="18">
        <v>40</v>
      </c>
      <c r="I33" s="18">
        <v>15</v>
      </c>
      <c r="J33" s="18">
        <f t="shared" si="5"/>
        <v>64</v>
      </c>
      <c r="K33" s="18">
        <v>9</v>
      </c>
      <c r="L33" s="18">
        <v>40</v>
      </c>
      <c r="M33" s="18">
        <v>15</v>
      </c>
    </row>
    <row r="34" spans="1:13" s="45" customFormat="1" ht="16.350000000000001" customHeight="1" x14ac:dyDescent="0.2">
      <c r="A34" s="2" t="s">
        <v>7</v>
      </c>
      <c r="B34" s="18">
        <f t="shared" si="3"/>
        <v>13</v>
      </c>
      <c r="C34" s="18">
        <v>2</v>
      </c>
      <c r="D34" s="18">
        <v>8</v>
      </c>
      <c r="E34" s="18">
        <v>3</v>
      </c>
      <c r="F34" s="18">
        <f t="shared" si="4"/>
        <v>13</v>
      </c>
      <c r="G34" s="18">
        <v>2</v>
      </c>
      <c r="H34" s="18">
        <v>8</v>
      </c>
      <c r="I34" s="18">
        <v>3</v>
      </c>
      <c r="J34" s="18">
        <f t="shared" si="5"/>
        <v>25</v>
      </c>
      <c r="K34" s="18">
        <v>2</v>
      </c>
      <c r="L34" s="18">
        <v>8</v>
      </c>
      <c r="M34" s="18">
        <v>15</v>
      </c>
    </row>
    <row r="35" spans="1:13" s="45" customFormat="1" ht="16.350000000000001" customHeight="1" x14ac:dyDescent="0.2">
      <c r="A35" s="2" t="s">
        <v>21</v>
      </c>
      <c r="B35" s="18">
        <f t="shared" si="3"/>
        <v>72</v>
      </c>
      <c r="C35" s="18">
        <v>12</v>
      </c>
      <c r="D35" s="18">
        <v>35</v>
      </c>
      <c r="E35" s="18">
        <v>25</v>
      </c>
      <c r="F35" s="18">
        <f t="shared" si="4"/>
        <v>72</v>
      </c>
      <c r="G35" s="18">
        <v>12</v>
      </c>
      <c r="H35" s="18">
        <v>35</v>
      </c>
      <c r="I35" s="18">
        <v>25</v>
      </c>
      <c r="J35" s="18">
        <f t="shared" si="5"/>
        <v>72</v>
      </c>
      <c r="K35" s="18">
        <v>12</v>
      </c>
      <c r="L35" s="18">
        <v>35</v>
      </c>
      <c r="M35" s="18">
        <v>25</v>
      </c>
    </row>
    <row r="36" spans="1:13" s="45" customFormat="1" ht="16.350000000000001" customHeight="1" x14ac:dyDescent="0.2">
      <c r="A36" s="2" t="s">
        <v>17</v>
      </c>
      <c r="B36" s="18">
        <f t="shared" si="3"/>
        <v>36</v>
      </c>
      <c r="C36" s="18">
        <v>5</v>
      </c>
      <c r="D36" s="18">
        <v>25</v>
      </c>
      <c r="E36" s="18">
        <v>6</v>
      </c>
      <c r="F36" s="18">
        <f t="shared" si="4"/>
        <v>36</v>
      </c>
      <c r="G36" s="18">
        <v>5</v>
      </c>
      <c r="H36" s="18">
        <v>25</v>
      </c>
      <c r="I36" s="18">
        <v>6</v>
      </c>
      <c r="J36" s="18">
        <f t="shared" si="5"/>
        <v>36</v>
      </c>
      <c r="K36" s="18">
        <v>5</v>
      </c>
      <c r="L36" s="18">
        <v>25</v>
      </c>
      <c r="M36" s="18">
        <v>6</v>
      </c>
    </row>
    <row r="37" spans="1:13" s="45" customFormat="1" ht="16.350000000000001" customHeight="1" x14ac:dyDescent="0.2">
      <c r="A37" s="2" t="s">
        <v>67</v>
      </c>
      <c r="B37" s="18">
        <f t="shared" si="3"/>
        <v>14</v>
      </c>
      <c r="C37" s="18" t="s">
        <v>98</v>
      </c>
      <c r="D37" s="18">
        <v>11</v>
      </c>
      <c r="E37" s="18">
        <v>3</v>
      </c>
      <c r="F37" s="18">
        <f t="shared" si="4"/>
        <v>14</v>
      </c>
      <c r="G37" s="18" t="s">
        <v>98</v>
      </c>
      <c r="H37" s="18">
        <v>11</v>
      </c>
      <c r="I37" s="18">
        <v>3</v>
      </c>
      <c r="J37" s="18">
        <f t="shared" si="5"/>
        <v>14</v>
      </c>
      <c r="K37" s="18" t="s">
        <v>98</v>
      </c>
      <c r="L37" s="18">
        <v>11</v>
      </c>
      <c r="M37" s="18">
        <v>3</v>
      </c>
    </row>
    <row r="38" spans="1:13" s="31" customFormat="1" ht="13.15" customHeight="1" x14ac:dyDescent="0.2">
      <c r="A38" s="30" t="s">
        <v>99</v>
      </c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</row>
    <row r="39" spans="1:13" s="31" customFormat="1" ht="13.15" customHeight="1" x14ac:dyDescent="0.2">
      <c r="A39" s="84" t="s">
        <v>71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</row>
    <row r="40" spans="1:13" x14ac:dyDescent="0.2">
      <c r="B40" s="11"/>
      <c r="C40" s="12"/>
    </row>
  </sheetData>
  <sortState ref="A6:M37">
    <sortCondition ref="A6:A37"/>
  </sortState>
  <mergeCells count="6">
    <mergeCell ref="A39:M39"/>
    <mergeCell ref="B3:E3"/>
    <mergeCell ref="A1:M1"/>
    <mergeCell ref="F3:I3"/>
    <mergeCell ref="J3:M3"/>
    <mergeCell ref="A3:A4"/>
  </mergeCells>
  <phoneticPr fontId="0" type="noConversion"/>
  <printOptions horizontalCentered="1"/>
  <pageMargins left="0.74803149606299202" right="0.74803149606299202" top="0.98425196850393704" bottom="0.98425196850393704" header="0.511811023622047" footer="0.511811023622047"/>
  <pageSetup paperSize="9" firstPageNumber="2" orientation="portrait" useFirstPageNumber="1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J40"/>
  <sheetViews>
    <sheetView view="pageBreakPreview" zoomScaleSheetLayoutView="100" workbookViewId="0">
      <selection activeCell="E2" sqref="E2"/>
    </sheetView>
  </sheetViews>
  <sheetFormatPr defaultRowHeight="12.75" x14ac:dyDescent="0.2"/>
  <cols>
    <col min="1" max="1" width="14.140625" style="35" customWidth="1"/>
    <col min="2" max="10" width="8.140625" style="35" customWidth="1"/>
    <col min="11" max="16384" width="9.140625" style="35"/>
  </cols>
  <sheetData>
    <row r="1" spans="1:10" ht="71.25" customHeight="1" x14ac:dyDescent="0.2">
      <c r="A1" s="86" t="s">
        <v>104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s="36" customFormat="1" x14ac:dyDescent="0.2">
      <c r="A2" s="9" t="s">
        <v>40</v>
      </c>
      <c r="B2" s="9"/>
      <c r="C2" s="9"/>
      <c r="D2" s="9"/>
      <c r="E2" s="9"/>
      <c r="F2" s="9"/>
      <c r="G2" s="41"/>
      <c r="H2" s="9"/>
      <c r="I2" s="9"/>
      <c r="J2" s="41" t="s">
        <v>83</v>
      </c>
    </row>
    <row r="3" spans="1:10" s="36" customFormat="1" ht="17.25" customHeight="1" x14ac:dyDescent="0.2">
      <c r="A3" s="91" t="s">
        <v>0</v>
      </c>
      <c r="B3" s="87" t="s">
        <v>74</v>
      </c>
      <c r="C3" s="87"/>
      <c r="D3" s="87"/>
      <c r="E3" s="87" t="s">
        <v>82</v>
      </c>
      <c r="F3" s="87"/>
      <c r="G3" s="87"/>
      <c r="H3" s="88" t="s">
        <v>94</v>
      </c>
      <c r="I3" s="89"/>
      <c r="J3" s="90"/>
    </row>
    <row r="4" spans="1:10" s="36" customFormat="1" ht="54" customHeight="1" x14ac:dyDescent="0.2">
      <c r="A4" s="92"/>
      <c r="B4" s="25" t="s">
        <v>84</v>
      </c>
      <c r="C4" s="25" t="s">
        <v>85</v>
      </c>
      <c r="D4" s="25" t="s">
        <v>86</v>
      </c>
      <c r="E4" s="25" t="s">
        <v>84</v>
      </c>
      <c r="F4" s="25" t="s">
        <v>85</v>
      </c>
      <c r="G4" s="25" t="s">
        <v>86</v>
      </c>
      <c r="H4" s="25" t="s">
        <v>84</v>
      </c>
      <c r="I4" s="25" t="s">
        <v>85</v>
      </c>
      <c r="J4" s="25" t="s">
        <v>86</v>
      </c>
    </row>
    <row r="5" spans="1:10" s="36" customFormat="1" ht="25.5" x14ac:dyDescent="0.2">
      <c r="A5" s="6" t="s">
        <v>63</v>
      </c>
      <c r="B5" s="17">
        <f t="shared" ref="B5:G5" si="0">SUM(B6:B37)</f>
        <v>3239.55</v>
      </c>
      <c r="C5" s="17">
        <f t="shared" si="0"/>
        <v>3517.9720000000002</v>
      </c>
      <c r="D5" s="17">
        <f t="shared" si="0"/>
        <v>11694.044000000002</v>
      </c>
      <c r="E5" s="17">
        <f t="shared" si="0"/>
        <v>3995.7650000000003</v>
      </c>
      <c r="F5" s="17">
        <f t="shared" si="0"/>
        <v>3579.3849999999998</v>
      </c>
      <c r="G5" s="17">
        <f t="shared" si="0"/>
        <v>12220.453000000003</v>
      </c>
      <c r="H5" s="17">
        <f>SUM(H6:H37)</f>
        <v>3891</v>
      </c>
      <c r="I5" s="17">
        <f>SUM(I6:I37)</f>
        <v>3938</v>
      </c>
      <c r="J5" s="17">
        <f>SUM(J6:J37)</f>
        <v>11924</v>
      </c>
    </row>
    <row r="6" spans="1:10" s="69" customFormat="1" ht="16.5" customHeight="1" x14ac:dyDescent="0.2">
      <c r="A6" s="2" t="s">
        <v>11</v>
      </c>
      <c r="B6" s="42">
        <v>76.701999999999998</v>
      </c>
      <c r="C6" s="42">
        <v>93.262</v>
      </c>
      <c r="D6" s="42">
        <v>433.02</v>
      </c>
      <c r="E6" s="42">
        <v>92.617000000000004</v>
      </c>
      <c r="F6" s="42">
        <v>92.442999999999998</v>
      </c>
      <c r="G6" s="42">
        <v>427</v>
      </c>
      <c r="H6" s="42">
        <v>99</v>
      </c>
      <c r="I6" s="42">
        <v>82</v>
      </c>
      <c r="J6" s="42">
        <v>341</v>
      </c>
    </row>
    <row r="7" spans="1:10" s="69" customFormat="1" ht="16.5" customHeight="1" x14ac:dyDescent="0.2">
      <c r="A7" s="43" t="s">
        <v>75</v>
      </c>
      <c r="B7" s="42">
        <v>171.137</v>
      </c>
      <c r="C7" s="42">
        <v>168.69900000000001</v>
      </c>
      <c r="D7" s="42">
        <v>805.99599999999998</v>
      </c>
      <c r="E7" s="42">
        <v>483</v>
      </c>
      <c r="F7" s="42">
        <v>157</v>
      </c>
      <c r="G7" s="42">
        <v>763</v>
      </c>
      <c r="H7" s="42">
        <v>124</v>
      </c>
      <c r="I7" s="42">
        <v>183</v>
      </c>
      <c r="J7" s="42">
        <v>317</v>
      </c>
    </row>
    <row r="8" spans="1:10" s="69" customFormat="1" ht="16.5" customHeight="1" x14ac:dyDescent="0.2">
      <c r="A8" s="2" t="s">
        <v>18</v>
      </c>
      <c r="B8" s="42">
        <v>292.94600000000003</v>
      </c>
      <c r="C8" s="42">
        <v>492.92700000000002</v>
      </c>
      <c r="D8" s="42">
        <v>434.90300000000002</v>
      </c>
      <c r="E8" s="42">
        <v>238.655</v>
      </c>
      <c r="F8" s="42">
        <v>213.899</v>
      </c>
      <c r="G8" s="42">
        <v>497.96</v>
      </c>
      <c r="H8" s="42">
        <v>291</v>
      </c>
      <c r="I8" s="42">
        <v>333</v>
      </c>
      <c r="J8" s="42">
        <v>585</v>
      </c>
    </row>
    <row r="9" spans="1:10" s="69" customFormat="1" ht="16.5" customHeight="1" x14ac:dyDescent="0.2">
      <c r="A9" s="2" t="s">
        <v>14</v>
      </c>
      <c r="B9" s="42">
        <v>27.11</v>
      </c>
      <c r="C9" s="42">
        <v>42.83</v>
      </c>
      <c r="D9" s="42">
        <v>74.5</v>
      </c>
      <c r="E9" s="42">
        <v>29.998000000000001</v>
      </c>
      <c r="F9" s="42">
        <v>51.213999999999999</v>
      </c>
      <c r="G9" s="42">
        <v>89.31</v>
      </c>
      <c r="H9" s="42">
        <v>37</v>
      </c>
      <c r="I9" s="42">
        <v>59</v>
      </c>
      <c r="J9" s="42">
        <v>91</v>
      </c>
    </row>
    <row r="10" spans="1:10" s="69" customFormat="1" ht="16.5" customHeight="1" x14ac:dyDescent="0.2">
      <c r="A10" s="2" t="s">
        <v>23</v>
      </c>
      <c r="B10" s="42">
        <v>71.552000000000007</v>
      </c>
      <c r="C10" s="42">
        <v>65.616</v>
      </c>
      <c r="D10" s="42">
        <v>215.5</v>
      </c>
      <c r="E10" s="42">
        <v>78.186999999999998</v>
      </c>
      <c r="F10" s="42">
        <v>69.212999999999994</v>
      </c>
      <c r="G10" s="42">
        <v>144.44999999999999</v>
      </c>
      <c r="H10" s="42">
        <v>73</v>
      </c>
      <c r="I10" s="42">
        <v>74</v>
      </c>
      <c r="J10" s="42">
        <v>293</v>
      </c>
    </row>
    <row r="11" spans="1:10" s="69" customFormat="1" ht="16.5" customHeight="1" x14ac:dyDescent="0.2">
      <c r="A11" s="2" t="s">
        <v>5</v>
      </c>
      <c r="B11" s="42">
        <v>49.962000000000003</v>
      </c>
      <c r="C11" s="42">
        <v>131.08600000000001</v>
      </c>
      <c r="D11" s="42">
        <v>813.49099999999999</v>
      </c>
      <c r="E11" s="42">
        <v>201.76</v>
      </c>
      <c r="F11" s="42">
        <v>122.32899999999999</v>
      </c>
      <c r="G11" s="42">
        <v>489.07499999999999</v>
      </c>
      <c r="H11" s="42">
        <v>125</v>
      </c>
      <c r="I11" s="42">
        <v>184</v>
      </c>
      <c r="J11" s="42">
        <v>636</v>
      </c>
    </row>
    <row r="12" spans="1:10" s="69" customFormat="1" ht="16.5" customHeight="1" x14ac:dyDescent="0.2">
      <c r="A12" s="2" t="s">
        <v>20</v>
      </c>
      <c r="B12" s="42">
        <v>51.503999999999998</v>
      </c>
      <c r="C12" s="42">
        <v>38.49</v>
      </c>
      <c r="D12" s="42">
        <v>331.9</v>
      </c>
      <c r="E12" s="42">
        <v>52.137999999999998</v>
      </c>
      <c r="F12" s="42">
        <v>51.481999999999999</v>
      </c>
      <c r="G12" s="42">
        <v>308.14999999999998</v>
      </c>
      <c r="H12" s="42">
        <v>53</v>
      </c>
      <c r="I12" s="42">
        <v>55</v>
      </c>
      <c r="J12" s="42">
        <v>228</v>
      </c>
    </row>
    <row r="13" spans="1:10" s="69" customFormat="1" ht="16.5" customHeight="1" x14ac:dyDescent="0.2">
      <c r="A13" s="2" t="s">
        <v>16</v>
      </c>
      <c r="B13" s="42">
        <v>224.46</v>
      </c>
      <c r="C13" s="42">
        <v>292.44600000000003</v>
      </c>
      <c r="D13" s="42">
        <v>455.21300000000002</v>
      </c>
      <c r="E13" s="42">
        <v>255.15199999999999</v>
      </c>
      <c r="F13" s="42">
        <v>361.69499999999999</v>
      </c>
      <c r="G13" s="42">
        <v>601.46600000000001</v>
      </c>
      <c r="H13" s="42">
        <v>290</v>
      </c>
      <c r="I13" s="42">
        <v>486</v>
      </c>
      <c r="J13" s="42">
        <v>698</v>
      </c>
    </row>
    <row r="14" spans="1:10" s="69" customFormat="1" ht="16.5" customHeight="1" x14ac:dyDescent="0.2">
      <c r="A14" s="2" t="s">
        <v>68</v>
      </c>
      <c r="B14" s="42">
        <v>106.45399999999999</v>
      </c>
      <c r="C14" s="42">
        <v>84.932000000000002</v>
      </c>
      <c r="D14" s="42">
        <v>537.1</v>
      </c>
      <c r="E14" s="42">
        <v>141.417</v>
      </c>
      <c r="F14" s="42">
        <v>110.387</v>
      </c>
      <c r="G14" s="42">
        <v>510.05</v>
      </c>
      <c r="H14" s="42">
        <v>135</v>
      </c>
      <c r="I14" s="42">
        <v>97</v>
      </c>
      <c r="J14" s="42">
        <v>401</v>
      </c>
    </row>
    <row r="15" spans="1:10" s="69" customFormat="1" ht="16.5" customHeight="1" x14ac:dyDescent="0.2">
      <c r="A15" s="2" t="s">
        <v>69</v>
      </c>
      <c r="B15" s="42">
        <v>74.11</v>
      </c>
      <c r="C15" s="42">
        <v>81.900999999999996</v>
      </c>
      <c r="D15" s="42">
        <v>331.35</v>
      </c>
      <c r="E15" s="42">
        <v>82.548000000000002</v>
      </c>
      <c r="F15" s="42">
        <v>86.462999999999994</v>
      </c>
      <c r="G15" s="42">
        <v>285.14999999999998</v>
      </c>
      <c r="H15" s="42">
        <v>59</v>
      </c>
      <c r="I15" s="42">
        <v>85</v>
      </c>
      <c r="J15" s="42">
        <v>276</v>
      </c>
    </row>
    <row r="16" spans="1:10" s="69" customFormat="1" ht="16.5" customHeight="1" x14ac:dyDescent="0.2">
      <c r="A16" s="2" t="s">
        <v>9</v>
      </c>
      <c r="B16" s="42">
        <v>45.56</v>
      </c>
      <c r="C16" s="42">
        <v>29.555</v>
      </c>
      <c r="D16" s="42">
        <v>225.8</v>
      </c>
      <c r="E16" s="42">
        <v>43.715000000000003</v>
      </c>
      <c r="F16" s="42">
        <v>33.087000000000003</v>
      </c>
      <c r="G16" s="42">
        <v>238.75</v>
      </c>
      <c r="H16" s="42">
        <v>42</v>
      </c>
      <c r="I16" s="42">
        <v>41</v>
      </c>
      <c r="J16" s="42">
        <v>266</v>
      </c>
    </row>
    <row r="17" spans="1:10" s="69" customFormat="1" ht="16.5" customHeight="1" x14ac:dyDescent="0.2">
      <c r="A17" s="2" t="s">
        <v>12</v>
      </c>
      <c r="B17" s="42">
        <v>85.254000000000005</v>
      </c>
      <c r="C17" s="42">
        <v>87.15</v>
      </c>
      <c r="D17" s="42">
        <v>387.15</v>
      </c>
      <c r="E17" s="42">
        <v>90.745999999999995</v>
      </c>
      <c r="F17" s="42">
        <v>78.159000000000006</v>
      </c>
      <c r="G17" s="42">
        <v>361.7</v>
      </c>
      <c r="H17" s="42">
        <v>88</v>
      </c>
      <c r="I17" s="42">
        <v>80</v>
      </c>
      <c r="J17" s="42">
        <v>290</v>
      </c>
    </row>
    <row r="18" spans="1:10" s="69" customFormat="1" ht="16.5" customHeight="1" x14ac:dyDescent="0.2">
      <c r="A18" s="2" t="s">
        <v>10</v>
      </c>
      <c r="B18" s="42">
        <v>76.113</v>
      </c>
      <c r="C18" s="42">
        <v>93.203999999999994</v>
      </c>
      <c r="D18" s="42">
        <v>348.2</v>
      </c>
      <c r="E18" s="42">
        <v>83.57</v>
      </c>
      <c r="F18" s="42">
        <v>93.465000000000003</v>
      </c>
      <c r="G18" s="42">
        <v>340.7</v>
      </c>
      <c r="H18" s="42">
        <v>93</v>
      </c>
      <c r="I18" s="42">
        <v>84</v>
      </c>
      <c r="J18" s="42">
        <v>316</v>
      </c>
    </row>
    <row r="19" spans="1:10" s="69" customFormat="1" ht="16.5" customHeight="1" x14ac:dyDescent="0.2">
      <c r="A19" s="43" t="s">
        <v>76</v>
      </c>
      <c r="B19" s="42">
        <v>117.56100000000001</v>
      </c>
      <c r="C19" s="42">
        <v>88.277000000000001</v>
      </c>
      <c r="D19" s="42">
        <v>92.251000000000005</v>
      </c>
      <c r="E19" s="42">
        <v>124.733</v>
      </c>
      <c r="F19" s="42">
        <v>152.65</v>
      </c>
      <c r="G19" s="42">
        <v>210.381</v>
      </c>
      <c r="H19" s="42">
        <v>129</v>
      </c>
      <c r="I19" s="42">
        <v>170</v>
      </c>
      <c r="J19" s="42">
        <v>293</v>
      </c>
    </row>
    <row r="20" spans="1:10" s="69" customFormat="1" ht="16.5" customHeight="1" x14ac:dyDescent="0.2">
      <c r="A20" s="2" t="s">
        <v>8</v>
      </c>
      <c r="B20" s="42">
        <v>85.106999999999999</v>
      </c>
      <c r="C20" s="42">
        <v>76.632000000000005</v>
      </c>
      <c r="D20" s="42">
        <v>476.9</v>
      </c>
      <c r="E20" s="42">
        <v>99.867999999999995</v>
      </c>
      <c r="F20" s="42">
        <v>86.474000000000004</v>
      </c>
      <c r="G20" s="42">
        <v>628.54999999999995</v>
      </c>
      <c r="H20" s="42">
        <v>133</v>
      </c>
      <c r="I20" s="42">
        <v>72</v>
      </c>
      <c r="J20" s="42">
        <v>363</v>
      </c>
    </row>
    <row r="21" spans="1:10" s="69" customFormat="1" ht="16.5" customHeight="1" x14ac:dyDescent="0.2">
      <c r="A21" s="2" t="s">
        <v>15</v>
      </c>
      <c r="B21" s="42">
        <v>45.25</v>
      </c>
      <c r="C21" s="42">
        <v>78.099999999999994</v>
      </c>
      <c r="D21" s="42">
        <v>114.5</v>
      </c>
      <c r="E21" s="42">
        <v>37</v>
      </c>
      <c r="F21" s="42">
        <v>92.79</v>
      </c>
      <c r="G21" s="42">
        <v>128.5</v>
      </c>
      <c r="H21" s="42">
        <v>36</v>
      </c>
      <c r="I21" s="42">
        <v>81</v>
      </c>
      <c r="J21" s="42">
        <v>81</v>
      </c>
    </row>
    <row r="22" spans="1:10" s="69" customFormat="1" ht="16.5" customHeight="1" x14ac:dyDescent="0.2">
      <c r="A22" s="43" t="s">
        <v>77</v>
      </c>
      <c r="B22" s="42">
        <v>162.87700000000001</v>
      </c>
      <c r="C22" s="42">
        <v>217.50399999999999</v>
      </c>
      <c r="D22" s="42">
        <v>279.53399999999999</v>
      </c>
      <c r="E22" s="42">
        <v>128.60499999999999</v>
      </c>
      <c r="F22" s="42">
        <v>119.13500000000001</v>
      </c>
      <c r="G22" s="42">
        <v>200.934</v>
      </c>
      <c r="H22" s="42">
        <v>105</v>
      </c>
      <c r="I22" s="42">
        <v>190</v>
      </c>
      <c r="J22" s="42">
        <v>204</v>
      </c>
    </row>
    <row r="23" spans="1:10" s="69" customFormat="1" ht="16.5" customHeight="1" x14ac:dyDescent="0.2">
      <c r="A23" s="2" t="s">
        <v>19</v>
      </c>
      <c r="B23" s="42">
        <v>92.834000000000003</v>
      </c>
      <c r="C23" s="42">
        <v>70.540000000000006</v>
      </c>
      <c r="D23" s="42">
        <v>172.5</v>
      </c>
      <c r="E23" s="42">
        <v>109.917</v>
      </c>
      <c r="F23" s="42">
        <v>71.709999999999994</v>
      </c>
      <c r="G23" s="42">
        <v>304.55</v>
      </c>
      <c r="H23" s="42">
        <v>121</v>
      </c>
      <c r="I23" s="42">
        <v>79</v>
      </c>
      <c r="J23" s="42">
        <v>286</v>
      </c>
    </row>
    <row r="24" spans="1:10" s="69" customFormat="1" ht="16.5" customHeight="1" x14ac:dyDescent="0.2">
      <c r="A24" s="2" t="s">
        <v>24</v>
      </c>
      <c r="B24" s="42">
        <v>85.971999999999994</v>
      </c>
      <c r="C24" s="42">
        <v>42.14</v>
      </c>
      <c r="D24" s="42">
        <v>232.7</v>
      </c>
      <c r="E24" s="42">
        <v>99.186000000000007</v>
      </c>
      <c r="F24" s="42">
        <v>51.811999999999998</v>
      </c>
      <c r="G24" s="42">
        <v>367.65</v>
      </c>
      <c r="H24" s="42">
        <v>98</v>
      </c>
      <c r="I24" s="42">
        <v>52</v>
      </c>
      <c r="J24" s="42">
        <v>619</v>
      </c>
    </row>
    <row r="25" spans="1:10" s="69" customFormat="1" ht="16.5" customHeight="1" x14ac:dyDescent="0.2">
      <c r="A25" s="2" t="s">
        <v>13</v>
      </c>
      <c r="B25" s="42">
        <v>147.23699999999999</v>
      </c>
      <c r="C25" s="42">
        <v>92.429000000000002</v>
      </c>
      <c r="D25" s="42">
        <v>236.25</v>
      </c>
      <c r="E25" s="42">
        <v>169.005</v>
      </c>
      <c r="F25" s="42">
        <v>80.602999999999994</v>
      </c>
      <c r="G25" s="42">
        <v>189.95</v>
      </c>
      <c r="H25" s="42">
        <v>201</v>
      </c>
      <c r="I25" s="42">
        <v>55</v>
      </c>
      <c r="J25" s="42">
        <v>206</v>
      </c>
    </row>
    <row r="26" spans="1:10" s="69" customFormat="1" ht="16.5" customHeight="1" x14ac:dyDescent="0.2">
      <c r="A26" s="2" t="s">
        <v>6</v>
      </c>
      <c r="B26" s="42">
        <v>90.058999999999997</v>
      </c>
      <c r="C26" s="42">
        <v>174.06100000000001</v>
      </c>
      <c r="D26" s="42">
        <v>1707.15</v>
      </c>
      <c r="E26" s="42">
        <v>141.41200000000001</v>
      </c>
      <c r="F26" s="42">
        <v>154.27000000000001</v>
      </c>
      <c r="G26" s="42">
        <v>1532.67</v>
      </c>
      <c r="H26" s="42">
        <v>136</v>
      </c>
      <c r="I26" s="42">
        <v>149</v>
      </c>
      <c r="J26" s="42">
        <v>1577</v>
      </c>
    </row>
    <row r="27" spans="1:10" s="69" customFormat="1" ht="16.5" customHeight="1" x14ac:dyDescent="0.2">
      <c r="A27" s="43" t="s">
        <v>78</v>
      </c>
      <c r="B27" s="42">
        <v>130.79900000000001</v>
      </c>
      <c r="C27" s="42">
        <v>81.090999999999994</v>
      </c>
      <c r="D27" s="42">
        <v>48.670999999999999</v>
      </c>
      <c r="E27" s="42">
        <v>110.592</v>
      </c>
      <c r="F27" s="42">
        <v>93.259</v>
      </c>
      <c r="G27" s="42">
        <v>116.434</v>
      </c>
      <c r="H27" s="42">
        <v>133</v>
      </c>
      <c r="I27" s="42">
        <v>177</v>
      </c>
      <c r="J27" s="42">
        <v>246</v>
      </c>
    </row>
    <row r="28" spans="1:10" s="69" customFormat="1" ht="16.5" customHeight="1" x14ac:dyDescent="0.2">
      <c r="A28" s="43" t="s">
        <v>80</v>
      </c>
      <c r="B28" s="42">
        <v>67.144999999999996</v>
      </c>
      <c r="C28" s="42">
        <v>146.83699999999999</v>
      </c>
      <c r="D28" s="42">
        <v>90.424999999999997</v>
      </c>
      <c r="E28" s="42">
        <v>76.677000000000007</v>
      </c>
      <c r="F28" s="42">
        <v>369.91899999999998</v>
      </c>
      <c r="G28" s="42">
        <v>527.98599999999999</v>
      </c>
      <c r="H28" s="42">
        <v>145</v>
      </c>
      <c r="I28" s="42">
        <v>195</v>
      </c>
      <c r="J28" s="42">
        <v>288</v>
      </c>
    </row>
    <row r="29" spans="1:10" s="69" customFormat="1" ht="16.5" customHeight="1" x14ac:dyDescent="0.2">
      <c r="A29" s="2" t="s">
        <v>4</v>
      </c>
      <c r="B29" s="42">
        <v>82.04</v>
      </c>
      <c r="C29" s="42">
        <v>98.94</v>
      </c>
      <c r="D29" s="42">
        <v>866.2</v>
      </c>
      <c r="E29" s="42">
        <v>90.94</v>
      </c>
      <c r="F29" s="42">
        <v>95.27</v>
      </c>
      <c r="G29" s="42">
        <v>670.65499999999997</v>
      </c>
      <c r="H29" s="42">
        <v>86</v>
      </c>
      <c r="I29" s="42">
        <v>73</v>
      </c>
      <c r="J29" s="42">
        <v>406</v>
      </c>
    </row>
    <row r="30" spans="1:10" s="69" customFormat="1" ht="16.5" customHeight="1" x14ac:dyDescent="0.2">
      <c r="A30" s="43" t="s">
        <v>79</v>
      </c>
      <c r="B30" s="42">
        <v>84.957999999999998</v>
      </c>
      <c r="C30" s="42">
        <v>99.498000000000005</v>
      </c>
      <c r="D30" s="42">
        <v>194.57499999999999</v>
      </c>
      <c r="E30" s="42">
        <v>82.25</v>
      </c>
      <c r="F30" s="42">
        <v>142.726</v>
      </c>
      <c r="G30" s="42">
        <v>152.619</v>
      </c>
      <c r="H30" s="42">
        <v>98</v>
      </c>
      <c r="I30" s="42">
        <v>131</v>
      </c>
      <c r="J30" s="42">
        <v>182</v>
      </c>
    </row>
    <row r="31" spans="1:10" s="69" customFormat="1" ht="16.5" customHeight="1" x14ac:dyDescent="0.2">
      <c r="A31" s="2" t="s">
        <v>3</v>
      </c>
      <c r="B31" s="42">
        <v>166.96199999999999</v>
      </c>
      <c r="C31" s="42">
        <v>91.010999999999996</v>
      </c>
      <c r="D31" s="42">
        <v>571.75</v>
      </c>
      <c r="E31" s="42">
        <v>204.119</v>
      </c>
      <c r="F31" s="42">
        <v>110.776</v>
      </c>
      <c r="G31" s="42">
        <v>611.20000000000005</v>
      </c>
      <c r="H31" s="42">
        <v>322</v>
      </c>
      <c r="I31" s="42">
        <v>280</v>
      </c>
      <c r="J31" s="42">
        <v>856</v>
      </c>
    </row>
    <row r="32" spans="1:10" s="69" customFormat="1" ht="16.5" customHeight="1" x14ac:dyDescent="0.2">
      <c r="A32" s="43" t="s">
        <v>81</v>
      </c>
      <c r="B32" s="42">
        <v>181.357</v>
      </c>
      <c r="C32" s="42">
        <v>172.06200000000001</v>
      </c>
      <c r="D32" s="42">
        <v>172.49</v>
      </c>
      <c r="E32" s="42">
        <v>176.81899999999999</v>
      </c>
      <c r="F32" s="42">
        <v>146.36500000000001</v>
      </c>
      <c r="G32" s="42">
        <v>178.84800000000001</v>
      </c>
      <c r="H32" s="42">
        <v>118</v>
      </c>
      <c r="I32" s="42">
        <v>195</v>
      </c>
      <c r="J32" s="42">
        <v>288</v>
      </c>
    </row>
    <row r="33" spans="1:10" s="69" customFormat="1" ht="16.5" customHeight="1" x14ac:dyDescent="0.2">
      <c r="A33" s="2" t="s">
        <v>22</v>
      </c>
      <c r="B33" s="42">
        <v>38.985999999999997</v>
      </c>
      <c r="C33" s="42">
        <v>6.7549999999999999</v>
      </c>
      <c r="D33" s="42">
        <v>31.55</v>
      </c>
      <c r="E33" s="42">
        <v>33.021000000000001</v>
      </c>
      <c r="F33" s="42">
        <v>22.963000000000001</v>
      </c>
      <c r="G33" s="42">
        <v>115</v>
      </c>
      <c r="H33" s="42">
        <v>32</v>
      </c>
      <c r="I33" s="42">
        <v>16</v>
      </c>
      <c r="J33" s="42">
        <v>118</v>
      </c>
    </row>
    <row r="34" spans="1:10" s="69" customFormat="1" ht="16.5" customHeight="1" x14ac:dyDescent="0.2">
      <c r="A34" s="2" t="s">
        <v>7</v>
      </c>
      <c r="B34" s="42">
        <v>88.475999999999999</v>
      </c>
      <c r="C34" s="42">
        <v>49.192999999999998</v>
      </c>
      <c r="D34" s="42">
        <v>305.2</v>
      </c>
      <c r="E34" s="42">
        <v>113.49</v>
      </c>
      <c r="F34" s="42">
        <v>56.375</v>
      </c>
      <c r="G34" s="42">
        <v>316.39999999999998</v>
      </c>
      <c r="H34" s="42">
        <v>112</v>
      </c>
      <c r="I34" s="42">
        <v>45</v>
      </c>
      <c r="J34" s="42">
        <v>416</v>
      </c>
    </row>
    <row r="35" spans="1:10" s="69" customFormat="1" ht="16.5" customHeight="1" x14ac:dyDescent="0.2">
      <c r="A35" s="2" t="s">
        <v>21</v>
      </c>
      <c r="B35" s="42">
        <v>169.107</v>
      </c>
      <c r="C35" s="42">
        <v>157.62200000000001</v>
      </c>
      <c r="D35" s="42">
        <v>552.11</v>
      </c>
      <c r="E35" s="42">
        <v>244.32400000000001</v>
      </c>
      <c r="F35" s="42">
        <v>111.717</v>
      </c>
      <c r="G35" s="42">
        <v>620.61</v>
      </c>
      <c r="H35" s="42">
        <v>309</v>
      </c>
      <c r="I35" s="42">
        <v>49</v>
      </c>
      <c r="J35" s="42">
        <v>474</v>
      </c>
    </row>
    <row r="36" spans="1:10" s="69" customFormat="1" ht="16.5" customHeight="1" x14ac:dyDescent="0.2">
      <c r="A36" s="2" t="s">
        <v>17</v>
      </c>
      <c r="B36" s="42">
        <v>31.92</v>
      </c>
      <c r="C36" s="42">
        <v>45.243000000000002</v>
      </c>
      <c r="D36" s="42">
        <v>127.29</v>
      </c>
      <c r="E36" s="42">
        <v>47.726999999999997</v>
      </c>
      <c r="F36" s="42">
        <v>62.935000000000002</v>
      </c>
      <c r="G36" s="42">
        <v>247.30500000000001</v>
      </c>
      <c r="H36" s="42">
        <v>47</v>
      </c>
      <c r="I36" s="42">
        <v>61</v>
      </c>
      <c r="J36" s="42">
        <v>254</v>
      </c>
    </row>
    <row r="37" spans="1:10" s="69" customFormat="1" ht="16.5" customHeight="1" x14ac:dyDescent="0.2">
      <c r="A37" s="2" t="s">
        <v>67</v>
      </c>
      <c r="B37" s="42">
        <v>18.039000000000001</v>
      </c>
      <c r="C37" s="42">
        <v>27.939</v>
      </c>
      <c r="D37" s="42">
        <v>27.875</v>
      </c>
      <c r="E37" s="42">
        <v>32.576999999999998</v>
      </c>
      <c r="F37" s="42">
        <v>36.799999999999997</v>
      </c>
      <c r="G37" s="42">
        <v>43.45</v>
      </c>
      <c r="H37" s="42">
        <v>21</v>
      </c>
      <c r="I37" s="42">
        <v>25</v>
      </c>
      <c r="J37" s="42">
        <v>29</v>
      </c>
    </row>
    <row r="38" spans="1:10" s="36" customFormat="1" ht="3" customHeight="1" x14ac:dyDescent="0.2">
      <c r="A38" s="3"/>
      <c r="B38" s="10"/>
      <c r="C38" s="10"/>
      <c r="D38" s="10"/>
      <c r="E38" s="10"/>
      <c r="F38" s="10"/>
      <c r="G38" s="10"/>
      <c r="H38" s="9"/>
      <c r="I38" s="9"/>
      <c r="J38" s="9"/>
    </row>
    <row r="39" spans="1:10" s="36" customFormat="1" ht="13.15" customHeight="1" x14ac:dyDescent="0.2">
      <c r="A39" s="9"/>
      <c r="B39" s="9"/>
      <c r="C39" s="9"/>
      <c r="D39" s="9"/>
      <c r="E39" s="9"/>
      <c r="F39" s="9"/>
      <c r="G39" s="9"/>
      <c r="H39" s="9"/>
      <c r="I39" s="9"/>
      <c r="J39" s="44" t="s">
        <v>88</v>
      </c>
    </row>
    <row r="40" spans="1:10" x14ac:dyDescent="0.2">
      <c r="B40" s="37"/>
      <c r="C40" s="38"/>
    </row>
  </sheetData>
  <sortState ref="A6:J37">
    <sortCondition ref="A6:A37"/>
  </sortState>
  <mergeCells count="5">
    <mergeCell ref="B3:D3"/>
    <mergeCell ref="A1:J1"/>
    <mergeCell ref="E3:G3"/>
    <mergeCell ref="H3:J3"/>
    <mergeCell ref="A3:A4"/>
  </mergeCells>
  <phoneticPr fontId="0" type="noConversion"/>
  <printOptions horizontalCentered="1"/>
  <pageMargins left="0.74803149606299202" right="0.74803149606299202" top="0.78740157480314998" bottom="0.78740157480314998" header="0.511811023622047" footer="0.511811023622047"/>
  <pageSetup paperSize="9" orientation="portrait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S12"/>
  <sheetViews>
    <sheetView view="pageBreakPreview" zoomScaleNormal="130" zoomScaleSheetLayoutView="100" workbookViewId="0">
      <selection activeCell="E2" sqref="E2"/>
    </sheetView>
  </sheetViews>
  <sheetFormatPr defaultColWidth="9.140625" defaultRowHeight="12.75" x14ac:dyDescent="0.2"/>
  <cols>
    <col min="1" max="1" width="8.28515625" style="9" customWidth="1"/>
    <col min="2" max="2" width="8.140625" style="9" customWidth="1"/>
    <col min="3" max="3" width="8.140625" style="9" bestFit="1" customWidth="1"/>
    <col min="4" max="4" width="10.42578125" style="9" customWidth="1"/>
    <col min="5" max="5" width="7.140625" style="9" bestFit="1" customWidth="1"/>
    <col min="6" max="6" width="8.28515625" style="9" customWidth="1"/>
    <col min="7" max="7" width="8.140625" style="9" customWidth="1"/>
    <col min="8" max="8" width="8.28515625" style="9" bestFit="1" customWidth="1"/>
    <col min="9" max="9" width="9.140625" style="9"/>
    <col min="10" max="10" width="7.7109375" style="9" customWidth="1"/>
    <col min="11" max="11" width="8.5703125" style="9" customWidth="1"/>
    <col min="12" max="12" width="8.140625" style="9" customWidth="1"/>
    <col min="13" max="13" width="7.140625" style="9" bestFit="1" customWidth="1"/>
    <col min="14" max="14" width="10" style="9" customWidth="1"/>
    <col min="15" max="15" width="6.85546875" style="9" bestFit="1" customWidth="1"/>
    <col min="16" max="16" width="7.28515625" style="9" customWidth="1"/>
    <col min="17" max="16384" width="9.140625" style="9"/>
  </cols>
  <sheetData>
    <row r="1" spans="1:19" ht="39.950000000000003" customHeight="1" x14ac:dyDescent="0.2">
      <c r="A1" s="93" t="s">
        <v>64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9" s="12" customFormat="1" ht="12" x14ac:dyDescent="0.2">
      <c r="A2" s="58" t="s">
        <v>41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94" t="s">
        <v>83</v>
      </c>
      <c r="P2" s="94"/>
    </row>
    <row r="3" spans="1:19" ht="30" customHeight="1" x14ac:dyDescent="0.2">
      <c r="A3" s="85" t="s">
        <v>26</v>
      </c>
      <c r="B3" s="95" t="s">
        <v>56</v>
      </c>
      <c r="C3" s="96"/>
      <c r="D3" s="96"/>
      <c r="E3" s="96"/>
      <c r="F3" s="97"/>
      <c r="G3" s="85" t="s">
        <v>57</v>
      </c>
      <c r="H3" s="85"/>
      <c r="I3" s="85"/>
      <c r="J3" s="85"/>
      <c r="K3" s="85"/>
      <c r="L3" s="85" t="s">
        <v>58</v>
      </c>
      <c r="M3" s="85"/>
      <c r="N3" s="85"/>
      <c r="O3" s="85"/>
      <c r="P3" s="85"/>
    </row>
    <row r="4" spans="1:19" ht="30" customHeight="1" x14ac:dyDescent="0.2">
      <c r="A4" s="85"/>
      <c r="B4" s="54" t="s">
        <v>2</v>
      </c>
      <c r="C4" s="54" t="s">
        <v>27</v>
      </c>
      <c r="D4" s="54" t="s">
        <v>28</v>
      </c>
      <c r="E4" s="54" t="s">
        <v>29</v>
      </c>
      <c r="F4" s="54" t="s">
        <v>30</v>
      </c>
      <c r="G4" s="54" t="s">
        <v>2</v>
      </c>
      <c r="H4" s="54" t="s">
        <v>27</v>
      </c>
      <c r="I4" s="65" t="s">
        <v>28</v>
      </c>
      <c r="J4" s="54" t="s">
        <v>29</v>
      </c>
      <c r="K4" s="54" t="s">
        <v>30</v>
      </c>
      <c r="L4" s="54" t="s">
        <v>2</v>
      </c>
      <c r="M4" s="54" t="s">
        <v>27</v>
      </c>
      <c r="N4" s="54" t="s">
        <v>28</v>
      </c>
      <c r="O4" s="54" t="s">
        <v>29</v>
      </c>
      <c r="P4" s="54" t="s">
        <v>30</v>
      </c>
    </row>
    <row r="5" spans="1:19" s="45" customFormat="1" ht="24.95" customHeight="1" x14ac:dyDescent="0.2">
      <c r="A5" s="59" t="s">
        <v>74</v>
      </c>
      <c r="B5" s="60">
        <f t="shared" ref="B5:B6" si="0">SUM(C5:F5)</f>
        <v>368.2</v>
      </c>
      <c r="C5" s="61">
        <f t="shared" ref="C5:F7" si="1">H5+M5</f>
        <v>120.53</v>
      </c>
      <c r="D5" s="61">
        <f t="shared" si="1"/>
        <v>99.2</v>
      </c>
      <c r="E5" s="61">
        <f t="shared" si="1"/>
        <v>80.069999999999993</v>
      </c>
      <c r="F5" s="61">
        <f t="shared" si="1"/>
        <v>68.399999999999991</v>
      </c>
      <c r="G5" s="60">
        <f t="shared" ref="G5" si="2">SUM(H5:K5)</f>
        <v>361.78</v>
      </c>
      <c r="H5" s="61">
        <v>118.19</v>
      </c>
      <c r="I5" s="61">
        <v>96.19</v>
      </c>
      <c r="J5" s="61">
        <v>79.44</v>
      </c>
      <c r="K5" s="61">
        <v>67.959999999999994</v>
      </c>
      <c r="L5" s="60">
        <f t="shared" ref="L5:L6" si="3">SUM(M5:P5)</f>
        <v>6.42</v>
      </c>
      <c r="M5" s="61">
        <v>2.34</v>
      </c>
      <c r="N5" s="61">
        <v>3.01</v>
      </c>
      <c r="O5" s="61">
        <v>0.63</v>
      </c>
      <c r="P5" s="61">
        <v>0.44</v>
      </c>
      <c r="Q5" s="70"/>
      <c r="R5" s="69"/>
      <c r="S5" s="69"/>
    </row>
    <row r="6" spans="1:19" s="45" customFormat="1" ht="24.95" customHeight="1" x14ac:dyDescent="0.2">
      <c r="A6" s="59" t="s">
        <v>82</v>
      </c>
      <c r="B6" s="60">
        <f t="shared" si="0"/>
        <v>481.25099999999998</v>
      </c>
      <c r="C6" s="61">
        <f t="shared" si="1"/>
        <v>158.02600000000001</v>
      </c>
      <c r="D6" s="61">
        <f t="shared" si="1"/>
        <v>174.23</v>
      </c>
      <c r="E6" s="61">
        <f t="shared" si="1"/>
        <v>81.635000000000005</v>
      </c>
      <c r="F6" s="61">
        <f t="shared" si="1"/>
        <v>67.36</v>
      </c>
      <c r="G6" s="60">
        <f t="shared" ref="G6" si="4">SUM(H6:K6)</f>
        <v>474.20000000000005</v>
      </c>
      <c r="H6" s="61">
        <v>155.93</v>
      </c>
      <c r="I6" s="61">
        <v>170.53</v>
      </c>
      <c r="J6" s="61">
        <v>80.98</v>
      </c>
      <c r="K6" s="61">
        <v>66.760000000000005</v>
      </c>
      <c r="L6" s="60">
        <f t="shared" si="3"/>
        <v>7.0510000000000002</v>
      </c>
      <c r="M6" s="61">
        <v>2.0960000000000001</v>
      </c>
      <c r="N6" s="61">
        <v>3.7</v>
      </c>
      <c r="O6" s="61">
        <v>0.65500000000000003</v>
      </c>
      <c r="P6" s="61">
        <v>0.6</v>
      </c>
    </row>
    <row r="7" spans="1:19" s="45" customFormat="1" ht="24.95" customHeight="1" x14ac:dyDescent="0.2">
      <c r="A7" s="59" t="s">
        <v>94</v>
      </c>
      <c r="B7" s="60">
        <f>SUM(C7:F7)</f>
        <v>590.91</v>
      </c>
      <c r="C7" s="62">
        <f>H7+M7</f>
        <v>176.53</v>
      </c>
      <c r="D7" s="62">
        <f t="shared" si="1"/>
        <v>208.95</v>
      </c>
      <c r="E7" s="62">
        <f t="shared" si="1"/>
        <v>99.509999999999991</v>
      </c>
      <c r="F7" s="62">
        <f t="shared" si="1"/>
        <v>105.92</v>
      </c>
      <c r="G7" s="60">
        <f>SUM(H7:K7)</f>
        <v>584.18999999999994</v>
      </c>
      <c r="H7" s="62">
        <v>174.78</v>
      </c>
      <c r="I7" s="62">
        <v>205.88</v>
      </c>
      <c r="J7" s="62">
        <v>98.66</v>
      </c>
      <c r="K7" s="62">
        <v>104.87</v>
      </c>
      <c r="L7" s="60">
        <f>SUM(M7:P7)</f>
        <v>6.72</v>
      </c>
      <c r="M7" s="63">
        <v>1.75</v>
      </c>
      <c r="N7" s="63">
        <v>3.07</v>
      </c>
      <c r="O7" s="63">
        <v>0.85</v>
      </c>
      <c r="P7" s="63">
        <v>1.05</v>
      </c>
    </row>
    <row r="8" spans="1:19" x14ac:dyDescent="0.2">
      <c r="E8" s="64"/>
    </row>
    <row r="9" spans="1:19" x14ac:dyDescent="0.2">
      <c r="K9" s="12"/>
      <c r="P9" s="13" t="s">
        <v>73</v>
      </c>
    </row>
    <row r="10" spans="1:19" x14ac:dyDescent="0.2">
      <c r="J10" s="11"/>
      <c r="K10" s="12"/>
    </row>
    <row r="11" spans="1:19" x14ac:dyDescent="0.2">
      <c r="C11" s="46"/>
    </row>
    <row r="12" spans="1:19" x14ac:dyDescent="0.2">
      <c r="F12" s="46"/>
    </row>
  </sheetData>
  <mergeCells count="6">
    <mergeCell ref="G3:K3"/>
    <mergeCell ref="L3:P3"/>
    <mergeCell ref="A1:P1"/>
    <mergeCell ref="A3:A4"/>
    <mergeCell ref="O2:P2"/>
    <mergeCell ref="B3:F3"/>
  </mergeCells>
  <phoneticPr fontId="0" type="noConversion"/>
  <printOptions horizontalCentered="1"/>
  <pageMargins left="0.74803149606299202" right="0.74803149606299202" top="0.98425196850393704" bottom="0.98425196850393704" header="0.511811023622047" footer="0.511811023622047"/>
  <pageSetup paperSize="9" orientation="landscape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D38"/>
  <sheetViews>
    <sheetView view="pageBreakPreview" zoomScaleSheetLayoutView="100" workbookViewId="0">
      <selection activeCell="E2" sqref="E2"/>
    </sheetView>
  </sheetViews>
  <sheetFormatPr defaultRowHeight="12.75" x14ac:dyDescent="0.2"/>
  <cols>
    <col min="1" max="1" width="24.42578125" customWidth="1"/>
    <col min="2" max="4" width="17.7109375" customWidth="1"/>
  </cols>
  <sheetData>
    <row r="1" spans="1:4" ht="54.95" customHeight="1" x14ac:dyDescent="0.2">
      <c r="A1" s="99" t="s">
        <v>89</v>
      </c>
      <c r="B1" s="99"/>
      <c r="C1" s="99"/>
      <c r="D1" s="99"/>
    </row>
    <row r="2" spans="1:4" s="4" customFormat="1" ht="12" x14ac:dyDescent="0.2">
      <c r="A2" s="19" t="s">
        <v>45</v>
      </c>
      <c r="B2" s="19"/>
      <c r="C2" s="19"/>
      <c r="D2" s="24" t="s">
        <v>31</v>
      </c>
    </row>
    <row r="3" spans="1:4" ht="21.95" customHeight="1" x14ac:dyDescent="0.2">
      <c r="A3" s="98" t="s">
        <v>0</v>
      </c>
      <c r="B3" s="100" t="s">
        <v>50</v>
      </c>
      <c r="C3" s="101"/>
      <c r="D3" s="102"/>
    </row>
    <row r="4" spans="1:4" ht="21.95" customHeight="1" x14ac:dyDescent="0.2">
      <c r="A4" s="98"/>
      <c r="B4" s="81" t="s">
        <v>74</v>
      </c>
      <c r="C4" s="81" t="s">
        <v>82</v>
      </c>
      <c r="D4" s="81" t="s">
        <v>94</v>
      </c>
    </row>
    <row r="5" spans="1:4" ht="18" customHeight="1" x14ac:dyDescent="0.2">
      <c r="A5" s="72" t="s">
        <v>65</v>
      </c>
      <c r="B5" s="71">
        <f t="shared" ref="B5:C5" si="0">SUM(B6:B37)</f>
        <v>34</v>
      </c>
      <c r="C5" s="71">
        <f t="shared" si="0"/>
        <v>39</v>
      </c>
      <c r="D5" s="26">
        <f>SUM(D6:D37)</f>
        <v>39</v>
      </c>
    </row>
    <row r="6" spans="1:4" ht="18" customHeight="1" x14ac:dyDescent="0.2">
      <c r="A6" s="73" t="s">
        <v>11</v>
      </c>
      <c r="B6" s="74">
        <v>4</v>
      </c>
      <c r="C6" s="74">
        <v>5</v>
      </c>
      <c r="D6" s="74">
        <v>5</v>
      </c>
    </row>
    <row r="7" spans="1:4" ht="18" customHeight="1" x14ac:dyDescent="0.2">
      <c r="A7" s="75" t="s">
        <v>75</v>
      </c>
      <c r="B7" s="76" t="s">
        <v>98</v>
      </c>
      <c r="C7" s="74" t="s">
        <v>98</v>
      </c>
      <c r="D7" s="76" t="s">
        <v>98</v>
      </c>
    </row>
    <row r="8" spans="1:4" ht="18" customHeight="1" x14ac:dyDescent="0.2">
      <c r="A8" s="73" t="s">
        <v>18</v>
      </c>
      <c r="B8" s="74">
        <v>1</v>
      </c>
      <c r="C8" s="74">
        <v>1</v>
      </c>
      <c r="D8" s="74">
        <v>1</v>
      </c>
    </row>
    <row r="9" spans="1:4" ht="18" customHeight="1" x14ac:dyDescent="0.2">
      <c r="A9" s="73" t="s">
        <v>14</v>
      </c>
      <c r="B9" s="74" t="s">
        <v>98</v>
      </c>
      <c r="C9" s="74" t="s">
        <v>98</v>
      </c>
      <c r="D9" s="74" t="s">
        <v>98</v>
      </c>
    </row>
    <row r="10" spans="1:4" ht="18" customHeight="1" x14ac:dyDescent="0.2">
      <c r="A10" s="73" t="s">
        <v>23</v>
      </c>
      <c r="B10" s="74" t="s">
        <v>98</v>
      </c>
      <c r="C10" s="74">
        <v>1</v>
      </c>
      <c r="D10" s="74">
        <v>1</v>
      </c>
    </row>
    <row r="11" spans="1:4" ht="18" customHeight="1" x14ac:dyDescent="0.2">
      <c r="A11" s="73" t="s">
        <v>5</v>
      </c>
      <c r="B11" s="74">
        <v>2</v>
      </c>
      <c r="C11" s="74">
        <v>3</v>
      </c>
      <c r="D11" s="74">
        <v>3</v>
      </c>
    </row>
    <row r="12" spans="1:4" ht="18" customHeight="1" x14ac:dyDescent="0.2">
      <c r="A12" s="73" t="s">
        <v>20</v>
      </c>
      <c r="B12" s="74">
        <v>1</v>
      </c>
      <c r="C12" s="74">
        <v>1</v>
      </c>
      <c r="D12" s="74">
        <v>1</v>
      </c>
    </row>
    <row r="13" spans="1:4" ht="18" customHeight="1" x14ac:dyDescent="0.2">
      <c r="A13" s="73" t="s">
        <v>16</v>
      </c>
      <c r="B13" s="74">
        <v>3</v>
      </c>
      <c r="C13" s="74">
        <v>3</v>
      </c>
      <c r="D13" s="74">
        <v>3</v>
      </c>
    </row>
    <row r="14" spans="1:4" ht="18" customHeight="1" x14ac:dyDescent="0.2">
      <c r="A14" s="73" t="s">
        <v>68</v>
      </c>
      <c r="B14" s="74">
        <v>1</v>
      </c>
      <c r="C14" s="74">
        <v>4</v>
      </c>
      <c r="D14" s="74">
        <v>4</v>
      </c>
    </row>
    <row r="15" spans="1:4" ht="18" customHeight="1" x14ac:dyDescent="0.2">
      <c r="A15" s="73" t="s">
        <v>69</v>
      </c>
      <c r="B15" s="74">
        <v>1</v>
      </c>
      <c r="C15" s="74">
        <v>3</v>
      </c>
      <c r="D15" s="74">
        <v>3</v>
      </c>
    </row>
    <row r="16" spans="1:4" ht="18" customHeight="1" x14ac:dyDescent="0.2">
      <c r="A16" s="73" t="s">
        <v>9</v>
      </c>
      <c r="B16" s="74">
        <v>2</v>
      </c>
      <c r="C16" s="74">
        <v>2</v>
      </c>
      <c r="D16" s="74">
        <v>2</v>
      </c>
    </row>
    <row r="17" spans="1:4" ht="18" customHeight="1" x14ac:dyDescent="0.2">
      <c r="A17" s="73" t="s">
        <v>12</v>
      </c>
      <c r="B17" s="74">
        <v>2</v>
      </c>
      <c r="C17" s="74">
        <v>1</v>
      </c>
      <c r="D17" s="74">
        <v>1</v>
      </c>
    </row>
    <row r="18" spans="1:4" ht="18" customHeight="1" x14ac:dyDescent="0.2">
      <c r="A18" s="73" t="s">
        <v>10</v>
      </c>
      <c r="B18" s="74">
        <v>1</v>
      </c>
      <c r="C18" s="74" t="s">
        <v>98</v>
      </c>
      <c r="D18" s="74" t="s">
        <v>98</v>
      </c>
    </row>
    <row r="19" spans="1:4" ht="18" customHeight="1" x14ac:dyDescent="0.2">
      <c r="A19" s="75" t="s">
        <v>76</v>
      </c>
      <c r="B19" s="76" t="s">
        <v>98</v>
      </c>
      <c r="C19" s="74" t="s">
        <v>98</v>
      </c>
      <c r="D19" s="76" t="s">
        <v>98</v>
      </c>
    </row>
    <row r="20" spans="1:4" ht="18" customHeight="1" x14ac:dyDescent="0.2">
      <c r="A20" s="73" t="s">
        <v>8</v>
      </c>
      <c r="B20" s="74">
        <v>2</v>
      </c>
      <c r="C20" s="74">
        <v>1</v>
      </c>
      <c r="D20" s="74">
        <v>1</v>
      </c>
    </row>
    <row r="21" spans="1:4" ht="18" customHeight="1" x14ac:dyDescent="0.2">
      <c r="A21" s="73" t="s">
        <v>15</v>
      </c>
      <c r="B21" s="74" t="s">
        <v>98</v>
      </c>
      <c r="C21" s="74" t="s">
        <v>98</v>
      </c>
      <c r="D21" s="74" t="s">
        <v>98</v>
      </c>
    </row>
    <row r="22" spans="1:4" ht="18" customHeight="1" x14ac:dyDescent="0.2">
      <c r="A22" s="75" t="s">
        <v>77</v>
      </c>
      <c r="B22" s="76" t="s">
        <v>98</v>
      </c>
      <c r="C22" s="74" t="s">
        <v>98</v>
      </c>
      <c r="D22" s="76" t="s">
        <v>98</v>
      </c>
    </row>
    <row r="23" spans="1:4" ht="18" customHeight="1" x14ac:dyDescent="0.2">
      <c r="A23" s="73" t="s">
        <v>19</v>
      </c>
      <c r="B23" s="74">
        <v>1</v>
      </c>
      <c r="C23" s="74">
        <v>1</v>
      </c>
      <c r="D23" s="74">
        <v>1</v>
      </c>
    </row>
    <row r="24" spans="1:4" ht="18" customHeight="1" x14ac:dyDescent="0.2">
      <c r="A24" s="73" t="s">
        <v>24</v>
      </c>
      <c r="B24" s="74" t="s">
        <v>98</v>
      </c>
      <c r="C24" s="74" t="s">
        <v>98</v>
      </c>
      <c r="D24" s="74" t="s">
        <v>98</v>
      </c>
    </row>
    <row r="25" spans="1:4" ht="18" customHeight="1" x14ac:dyDescent="0.2">
      <c r="A25" s="73" t="s">
        <v>13</v>
      </c>
      <c r="B25" s="74">
        <v>2</v>
      </c>
      <c r="C25" s="74">
        <v>1</v>
      </c>
      <c r="D25" s="74">
        <v>1</v>
      </c>
    </row>
    <row r="26" spans="1:4" ht="18" customHeight="1" x14ac:dyDescent="0.2">
      <c r="A26" s="73" t="s">
        <v>6</v>
      </c>
      <c r="B26" s="74">
        <v>2</v>
      </c>
      <c r="C26" s="74">
        <v>2</v>
      </c>
      <c r="D26" s="74">
        <v>2</v>
      </c>
    </row>
    <row r="27" spans="1:4" ht="18" customHeight="1" x14ac:dyDescent="0.2">
      <c r="A27" s="75" t="s">
        <v>78</v>
      </c>
      <c r="B27" s="76" t="s">
        <v>98</v>
      </c>
      <c r="C27" s="74" t="s">
        <v>98</v>
      </c>
      <c r="D27" s="76" t="s">
        <v>98</v>
      </c>
    </row>
    <row r="28" spans="1:4" ht="18" customHeight="1" x14ac:dyDescent="0.2">
      <c r="A28" s="75" t="s">
        <v>80</v>
      </c>
      <c r="B28" s="76" t="s">
        <v>98</v>
      </c>
      <c r="C28" s="74" t="s">
        <v>98</v>
      </c>
      <c r="D28" s="76" t="s">
        <v>98</v>
      </c>
    </row>
    <row r="29" spans="1:4" ht="18" customHeight="1" x14ac:dyDescent="0.2">
      <c r="A29" s="73" t="s">
        <v>4</v>
      </c>
      <c r="B29" s="74">
        <v>3</v>
      </c>
      <c r="C29" s="74">
        <v>4</v>
      </c>
      <c r="D29" s="74">
        <v>4</v>
      </c>
    </row>
    <row r="30" spans="1:4" ht="18" customHeight="1" x14ac:dyDescent="0.2">
      <c r="A30" s="75" t="s">
        <v>79</v>
      </c>
      <c r="B30" s="76" t="s">
        <v>98</v>
      </c>
      <c r="C30" s="74" t="s">
        <v>98</v>
      </c>
      <c r="D30" s="76" t="s">
        <v>98</v>
      </c>
    </row>
    <row r="31" spans="1:4" s="4" customFormat="1" ht="18" customHeight="1" x14ac:dyDescent="0.2">
      <c r="A31" s="73" t="s">
        <v>3</v>
      </c>
      <c r="B31" s="74">
        <v>3</v>
      </c>
      <c r="C31" s="74">
        <v>2</v>
      </c>
      <c r="D31" s="74">
        <v>2</v>
      </c>
    </row>
    <row r="32" spans="1:4" ht="18" customHeight="1" x14ac:dyDescent="0.2">
      <c r="A32" s="75" t="s">
        <v>81</v>
      </c>
      <c r="B32" s="76" t="s">
        <v>98</v>
      </c>
      <c r="C32" s="74" t="s">
        <v>98</v>
      </c>
      <c r="D32" s="76" t="s">
        <v>98</v>
      </c>
    </row>
    <row r="33" spans="1:4" s="4" customFormat="1" ht="18" customHeight="1" x14ac:dyDescent="0.2">
      <c r="A33" s="73" t="s">
        <v>22</v>
      </c>
      <c r="B33" s="74" t="s">
        <v>98</v>
      </c>
      <c r="C33" s="74" t="s">
        <v>98</v>
      </c>
      <c r="D33" s="74" t="s">
        <v>98</v>
      </c>
    </row>
    <row r="34" spans="1:4" ht="18" customHeight="1" x14ac:dyDescent="0.2">
      <c r="A34" s="73" t="s">
        <v>7</v>
      </c>
      <c r="B34" s="74">
        <v>1</v>
      </c>
      <c r="C34" s="74">
        <v>2</v>
      </c>
      <c r="D34" s="74">
        <v>2</v>
      </c>
    </row>
    <row r="35" spans="1:4" ht="18" customHeight="1" x14ac:dyDescent="0.2">
      <c r="A35" s="73" t="s">
        <v>21</v>
      </c>
      <c r="B35" s="74">
        <v>1</v>
      </c>
      <c r="C35" s="74">
        <v>2</v>
      </c>
      <c r="D35" s="74">
        <v>2</v>
      </c>
    </row>
    <row r="36" spans="1:4" ht="18" customHeight="1" x14ac:dyDescent="0.2">
      <c r="A36" s="73" t="s">
        <v>17</v>
      </c>
      <c r="B36" s="74">
        <v>1</v>
      </c>
      <c r="C36" s="74" t="s">
        <v>98</v>
      </c>
      <c r="D36" s="74" t="s">
        <v>98</v>
      </c>
    </row>
    <row r="37" spans="1:4" ht="18" customHeight="1" x14ac:dyDescent="0.2">
      <c r="A37" s="73" t="s">
        <v>67</v>
      </c>
      <c r="B37" s="74" t="s">
        <v>98</v>
      </c>
      <c r="C37" s="74" t="s">
        <v>98</v>
      </c>
      <c r="D37" s="74" t="s">
        <v>98</v>
      </c>
    </row>
    <row r="38" spans="1:4" ht="18" customHeight="1" x14ac:dyDescent="0.2">
      <c r="D38" s="5" t="s">
        <v>72</v>
      </c>
    </row>
  </sheetData>
  <sortState ref="A6:D37">
    <sortCondition ref="A6:A37"/>
  </sortState>
  <mergeCells count="3">
    <mergeCell ref="A3:A4"/>
    <mergeCell ref="A1:D1"/>
    <mergeCell ref="B3:D3"/>
  </mergeCells>
  <phoneticPr fontId="0" type="noConversion"/>
  <printOptions horizontalCentered="1"/>
  <pageMargins left="0.74803149606299202" right="0.74803149606299202" top="0.98425196850393704" bottom="0.98425196850393704" header="0.511811023622047" footer="0.511811023622047"/>
  <pageSetup paperSize="9" orientation="portrait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M157"/>
  <sheetViews>
    <sheetView view="pageBreakPreview" zoomScaleSheetLayoutView="100" workbookViewId="0">
      <selection activeCell="E2" sqref="E2"/>
    </sheetView>
  </sheetViews>
  <sheetFormatPr defaultColWidth="9.140625" defaultRowHeight="12.75" x14ac:dyDescent="0.2"/>
  <cols>
    <col min="1" max="1" width="13" style="36" customWidth="1"/>
    <col min="2" max="9" width="6.5703125" style="36" bestFit="1" customWidth="1"/>
    <col min="10" max="10" width="7.5703125" style="36" bestFit="1" customWidth="1"/>
    <col min="11" max="12" width="6.5703125" style="36" bestFit="1" customWidth="1"/>
    <col min="13" max="13" width="6.5703125" style="36" customWidth="1"/>
    <col min="14" max="16384" width="9.140625" style="36"/>
  </cols>
  <sheetData>
    <row r="1" spans="1:13" ht="60" customHeight="1" x14ac:dyDescent="0.2">
      <c r="A1" s="86" t="s">
        <v>90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s="38" customFormat="1" ht="12" x14ac:dyDescent="0.2">
      <c r="A2" s="12" t="s">
        <v>51</v>
      </c>
      <c r="B2" s="12"/>
      <c r="C2" s="12"/>
      <c r="D2" s="12"/>
      <c r="E2" s="12"/>
      <c r="F2" s="12"/>
      <c r="G2" s="14"/>
      <c r="H2" s="12"/>
      <c r="I2" s="12"/>
      <c r="J2" s="12"/>
      <c r="K2" s="12"/>
      <c r="L2" s="103" t="s">
        <v>25</v>
      </c>
      <c r="M2" s="103"/>
    </row>
    <row r="3" spans="1:13" ht="21.95" customHeight="1" x14ac:dyDescent="0.2">
      <c r="A3" s="87" t="s">
        <v>0</v>
      </c>
      <c r="B3" s="104" t="s">
        <v>74</v>
      </c>
      <c r="C3" s="104"/>
      <c r="D3" s="104"/>
      <c r="E3" s="104"/>
      <c r="F3" s="105" t="s">
        <v>82</v>
      </c>
      <c r="G3" s="105"/>
      <c r="H3" s="105"/>
      <c r="I3" s="105"/>
      <c r="J3" s="105" t="s">
        <v>94</v>
      </c>
      <c r="K3" s="105"/>
      <c r="L3" s="105"/>
      <c r="M3" s="105"/>
    </row>
    <row r="4" spans="1:13" ht="25.5" customHeight="1" x14ac:dyDescent="0.2">
      <c r="A4" s="87"/>
      <c r="B4" s="47" t="s">
        <v>2</v>
      </c>
      <c r="C4" s="47" t="s">
        <v>46</v>
      </c>
      <c r="D4" s="47" t="s">
        <v>47</v>
      </c>
      <c r="E4" s="47" t="s">
        <v>38</v>
      </c>
      <c r="F4" s="47" t="s">
        <v>2</v>
      </c>
      <c r="G4" s="47" t="s">
        <v>46</v>
      </c>
      <c r="H4" s="47" t="s">
        <v>87</v>
      </c>
      <c r="I4" s="47" t="s">
        <v>38</v>
      </c>
      <c r="J4" s="47" t="s">
        <v>2</v>
      </c>
      <c r="K4" s="47" t="s">
        <v>46</v>
      </c>
      <c r="L4" s="47" t="s">
        <v>47</v>
      </c>
      <c r="M4" s="47" t="s">
        <v>38</v>
      </c>
    </row>
    <row r="5" spans="1:13" ht="25.5" customHeight="1" x14ac:dyDescent="0.2">
      <c r="A5" s="6" t="s">
        <v>63</v>
      </c>
      <c r="B5" s="48">
        <f t="shared" ref="B5:I5" si="0">SUM(B6:B37)</f>
        <v>68397</v>
      </c>
      <c r="C5" s="48">
        <f t="shared" si="0"/>
        <v>16147</v>
      </c>
      <c r="D5" s="48">
        <f t="shared" si="0"/>
        <v>39940</v>
      </c>
      <c r="E5" s="48">
        <f t="shared" si="0"/>
        <v>12310</v>
      </c>
      <c r="F5" s="48">
        <f t="shared" si="0"/>
        <v>67357</v>
      </c>
      <c r="G5" s="48">
        <f t="shared" si="0"/>
        <v>30964</v>
      </c>
      <c r="H5" s="48">
        <f t="shared" si="0"/>
        <v>21632</v>
      </c>
      <c r="I5" s="48">
        <f t="shared" si="0"/>
        <v>14761</v>
      </c>
      <c r="J5" s="48">
        <f>SUM(J6:J37)</f>
        <v>105921</v>
      </c>
      <c r="K5" s="48">
        <f>SUM(K6:K37)</f>
        <v>45610</v>
      </c>
      <c r="L5" s="48">
        <f>SUM(L6:L37)</f>
        <v>40526</v>
      </c>
      <c r="M5" s="48">
        <f>SUM(M6:M37)</f>
        <v>19785</v>
      </c>
    </row>
    <row r="6" spans="1:13" s="69" customFormat="1" ht="17.25" customHeight="1" x14ac:dyDescent="0.2">
      <c r="A6" s="2" t="s">
        <v>11</v>
      </c>
      <c r="B6" s="18">
        <f t="shared" ref="B6:B36" si="1">SUM(C6:E6)</f>
        <v>3715</v>
      </c>
      <c r="C6" s="18">
        <v>372</v>
      </c>
      <c r="D6" s="18">
        <v>2600</v>
      </c>
      <c r="E6" s="18">
        <v>743</v>
      </c>
      <c r="F6" s="18">
        <f t="shared" ref="F6:F36" si="2">SUM(G6:I6)</f>
        <v>2825</v>
      </c>
      <c r="G6" s="18">
        <v>719</v>
      </c>
      <c r="H6" s="18">
        <v>922</v>
      </c>
      <c r="I6" s="18">
        <v>1184</v>
      </c>
      <c r="J6" s="18">
        <f t="shared" ref="J6:J37" si="3">SUM(K6:M6)</f>
        <v>4233</v>
      </c>
      <c r="K6" s="18">
        <v>1047</v>
      </c>
      <c r="L6" s="18">
        <v>613</v>
      </c>
      <c r="M6" s="18">
        <v>2573</v>
      </c>
    </row>
    <row r="7" spans="1:13" s="69" customFormat="1" ht="17.25" customHeight="1" x14ac:dyDescent="0.2">
      <c r="A7" s="2" t="s">
        <v>75</v>
      </c>
      <c r="B7" s="18">
        <f t="shared" si="1"/>
        <v>100</v>
      </c>
      <c r="C7" s="18">
        <v>23</v>
      </c>
      <c r="D7" s="18">
        <v>27</v>
      </c>
      <c r="E7" s="18">
        <v>50</v>
      </c>
      <c r="F7" s="18">
        <f t="shared" si="2"/>
        <v>218</v>
      </c>
      <c r="G7" s="18">
        <v>84</v>
      </c>
      <c r="H7" s="18">
        <v>35</v>
      </c>
      <c r="I7" s="18">
        <v>99</v>
      </c>
      <c r="J7" s="18">
        <f t="shared" si="3"/>
        <v>678</v>
      </c>
      <c r="K7" s="18">
        <v>201</v>
      </c>
      <c r="L7" s="18">
        <v>157</v>
      </c>
      <c r="M7" s="18">
        <v>320</v>
      </c>
    </row>
    <row r="8" spans="1:13" s="69" customFormat="1" ht="17.25" customHeight="1" x14ac:dyDescent="0.2">
      <c r="A8" s="2" t="s">
        <v>18</v>
      </c>
      <c r="B8" s="18">
        <f t="shared" si="1"/>
        <v>792</v>
      </c>
      <c r="C8" s="18">
        <v>287</v>
      </c>
      <c r="D8" s="18">
        <v>381</v>
      </c>
      <c r="E8" s="18">
        <v>124</v>
      </c>
      <c r="F8" s="18">
        <f t="shared" si="2"/>
        <v>1452</v>
      </c>
      <c r="G8" s="18">
        <v>614</v>
      </c>
      <c r="H8" s="18">
        <v>478</v>
      </c>
      <c r="I8" s="18">
        <v>360</v>
      </c>
      <c r="J8" s="18">
        <f t="shared" si="3"/>
        <v>1472</v>
      </c>
      <c r="K8" s="18">
        <v>623</v>
      </c>
      <c r="L8" s="18">
        <v>450</v>
      </c>
      <c r="M8" s="18">
        <v>399</v>
      </c>
    </row>
    <row r="9" spans="1:13" s="69" customFormat="1" ht="17.25" customHeight="1" x14ac:dyDescent="0.2">
      <c r="A9" s="2" t="s">
        <v>14</v>
      </c>
      <c r="B9" s="18">
        <f t="shared" si="1"/>
        <v>653</v>
      </c>
      <c r="C9" s="18">
        <v>546</v>
      </c>
      <c r="D9" s="18">
        <v>107</v>
      </c>
      <c r="E9" s="18" t="s">
        <v>98</v>
      </c>
      <c r="F9" s="18">
        <f t="shared" si="2"/>
        <v>180</v>
      </c>
      <c r="G9" s="18">
        <v>70</v>
      </c>
      <c r="H9" s="18">
        <v>60</v>
      </c>
      <c r="I9" s="18">
        <v>50</v>
      </c>
      <c r="J9" s="18">
        <f t="shared" si="3"/>
        <v>1500</v>
      </c>
      <c r="K9" s="18">
        <v>780</v>
      </c>
      <c r="L9" s="18">
        <v>520</v>
      </c>
      <c r="M9" s="18">
        <v>200</v>
      </c>
    </row>
    <row r="10" spans="1:13" s="69" customFormat="1" ht="17.25" customHeight="1" x14ac:dyDescent="0.2">
      <c r="A10" s="2" t="s">
        <v>23</v>
      </c>
      <c r="B10" s="18">
        <f t="shared" si="1"/>
        <v>5194</v>
      </c>
      <c r="C10" s="18">
        <v>520</v>
      </c>
      <c r="D10" s="18">
        <v>3635</v>
      </c>
      <c r="E10" s="18">
        <v>1039</v>
      </c>
      <c r="F10" s="18">
        <f t="shared" si="2"/>
        <v>1538</v>
      </c>
      <c r="G10" s="18">
        <v>697</v>
      </c>
      <c r="H10" s="18">
        <v>604</v>
      </c>
      <c r="I10" s="18">
        <v>237</v>
      </c>
      <c r="J10" s="18">
        <f t="shared" si="3"/>
        <v>1753</v>
      </c>
      <c r="K10" s="18">
        <v>712</v>
      </c>
      <c r="L10" s="18">
        <v>914</v>
      </c>
      <c r="M10" s="18">
        <v>127</v>
      </c>
    </row>
    <row r="11" spans="1:13" s="69" customFormat="1" ht="17.25" customHeight="1" x14ac:dyDescent="0.2">
      <c r="A11" s="2" t="s">
        <v>5</v>
      </c>
      <c r="B11" s="18">
        <f t="shared" si="1"/>
        <v>3355</v>
      </c>
      <c r="C11" s="18">
        <v>336</v>
      </c>
      <c r="D11" s="18">
        <v>2348</v>
      </c>
      <c r="E11" s="18">
        <v>671</v>
      </c>
      <c r="F11" s="18">
        <f t="shared" si="2"/>
        <v>1757</v>
      </c>
      <c r="G11" s="18">
        <v>549</v>
      </c>
      <c r="H11" s="18">
        <v>733</v>
      </c>
      <c r="I11" s="18">
        <v>475</v>
      </c>
      <c r="J11" s="18">
        <f t="shared" si="3"/>
        <v>1990</v>
      </c>
      <c r="K11" s="18">
        <v>611</v>
      </c>
      <c r="L11" s="18">
        <v>870</v>
      </c>
      <c r="M11" s="18">
        <v>509</v>
      </c>
    </row>
    <row r="12" spans="1:13" s="69" customFormat="1" ht="17.25" customHeight="1" x14ac:dyDescent="0.2">
      <c r="A12" s="2" t="s">
        <v>20</v>
      </c>
      <c r="B12" s="18">
        <f t="shared" si="1"/>
        <v>2580</v>
      </c>
      <c r="C12" s="18">
        <v>258</v>
      </c>
      <c r="D12" s="18">
        <v>1806</v>
      </c>
      <c r="E12" s="18">
        <v>516</v>
      </c>
      <c r="F12" s="18">
        <f t="shared" si="2"/>
        <v>2024</v>
      </c>
      <c r="G12" s="18">
        <v>856</v>
      </c>
      <c r="H12" s="18">
        <v>773</v>
      </c>
      <c r="I12" s="18">
        <v>395</v>
      </c>
      <c r="J12" s="18">
        <f t="shared" si="3"/>
        <v>2436</v>
      </c>
      <c r="K12" s="18">
        <v>1012</v>
      </c>
      <c r="L12" s="18">
        <v>1395</v>
      </c>
      <c r="M12" s="18">
        <v>29</v>
      </c>
    </row>
    <row r="13" spans="1:13" s="69" customFormat="1" ht="17.25" customHeight="1" x14ac:dyDescent="0.2">
      <c r="A13" s="2" t="s">
        <v>16</v>
      </c>
      <c r="B13" s="18">
        <f t="shared" si="1"/>
        <v>3458</v>
      </c>
      <c r="C13" s="18">
        <v>347</v>
      </c>
      <c r="D13" s="18">
        <v>2420</v>
      </c>
      <c r="E13" s="18">
        <v>691</v>
      </c>
      <c r="F13" s="18">
        <f t="shared" si="2"/>
        <v>1570</v>
      </c>
      <c r="G13" s="18">
        <v>1541</v>
      </c>
      <c r="H13" s="18">
        <v>29</v>
      </c>
      <c r="I13" s="18" t="s">
        <v>98</v>
      </c>
      <c r="J13" s="18">
        <f t="shared" si="3"/>
        <v>1984</v>
      </c>
      <c r="K13" s="18">
        <v>1385</v>
      </c>
      <c r="L13" s="18">
        <v>599</v>
      </c>
      <c r="M13" s="18" t="s">
        <v>98</v>
      </c>
    </row>
    <row r="14" spans="1:13" s="69" customFormat="1" ht="17.25" customHeight="1" x14ac:dyDescent="0.2">
      <c r="A14" s="2" t="s">
        <v>68</v>
      </c>
      <c r="B14" s="18">
        <f t="shared" si="1"/>
        <v>1638</v>
      </c>
      <c r="C14" s="18">
        <v>164</v>
      </c>
      <c r="D14" s="18">
        <v>1146</v>
      </c>
      <c r="E14" s="18">
        <v>328</v>
      </c>
      <c r="F14" s="18">
        <f t="shared" si="2"/>
        <v>388</v>
      </c>
      <c r="G14" s="18">
        <v>229</v>
      </c>
      <c r="H14" s="18">
        <v>95</v>
      </c>
      <c r="I14" s="18">
        <v>64</v>
      </c>
      <c r="J14" s="18">
        <f t="shared" si="3"/>
        <v>572</v>
      </c>
      <c r="K14" s="18">
        <v>267</v>
      </c>
      <c r="L14" s="18">
        <v>238</v>
      </c>
      <c r="M14" s="18">
        <v>67</v>
      </c>
    </row>
    <row r="15" spans="1:13" s="69" customFormat="1" ht="17.25" customHeight="1" x14ac:dyDescent="0.2">
      <c r="A15" s="2" t="s">
        <v>69</v>
      </c>
      <c r="B15" s="18">
        <f t="shared" si="1"/>
        <v>6085</v>
      </c>
      <c r="C15" s="18">
        <v>608</v>
      </c>
      <c r="D15" s="18">
        <v>4260</v>
      </c>
      <c r="E15" s="18">
        <v>1217</v>
      </c>
      <c r="F15" s="18">
        <f t="shared" si="2"/>
        <v>415</v>
      </c>
      <c r="G15" s="18">
        <v>221</v>
      </c>
      <c r="H15" s="18">
        <v>185</v>
      </c>
      <c r="I15" s="18">
        <v>9</v>
      </c>
      <c r="J15" s="18">
        <f t="shared" si="3"/>
        <v>588</v>
      </c>
      <c r="K15" s="18">
        <v>170</v>
      </c>
      <c r="L15" s="18">
        <v>394</v>
      </c>
      <c r="M15" s="18">
        <v>24</v>
      </c>
    </row>
    <row r="16" spans="1:13" s="69" customFormat="1" ht="17.25" customHeight="1" x14ac:dyDescent="0.2">
      <c r="A16" s="2" t="s">
        <v>9</v>
      </c>
      <c r="B16" s="18">
        <f t="shared" si="1"/>
        <v>370</v>
      </c>
      <c r="C16" s="18">
        <v>90</v>
      </c>
      <c r="D16" s="18">
        <v>250</v>
      </c>
      <c r="E16" s="18">
        <v>30</v>
      </c>
      <c r="F16" s="18">
        <f t="shared" si="2"/>
        <v>6882</v>
      </c>
      <c r="G16" s="18">
        <v>1965</v>
      </c>
      <c r="H16" s="18">
        <v>3218</v>
      </c>
      <c r="I16" s="18">
        <v>1699</v>
      </c>
      <c r="J16" s="18">
        <f t="shared" si="3"/>
        <v>24902</v>
      </c>
      <c r="K16" s="18">
        <v>6975</v>
      </c>
      <c r="L16" s="18">
        <v>13975</v>
      </c>
      <c r="M16" s="18">
        <v>3952</v>
      </c>
    </row>
    <row r="17" spans="1:13" s="69" customFormat="1" ht="17.25" customHeight="1" x14ac:dyDescent="0.2">
      <c r="A17" s="2" t="s">
        <v>12</v>
      </c>
      <c r="B17" s="18">
        <f t="shared" si="1"/>
        <v>1751</v>
      </c>
      <c r="C17" s="18">
        <v>176</v>
      </c>
      <c r="D17" s="18">
        <v>1225</v>
      </c>
      <c r="E17" s="18">
        <v>350</v>
      </c>
      <c r="F17" s="18">
        <f t="shared" si="2"/>
        <v>567</v>
      </c>
      <c r="G17" s="18">
        <v>226</v>
      </c>
      <c r="H17" s="18">
        <v>329</v>
      </c>
      <c r="I17" s="18">
        <v>12</v>
      </c>
      <c r="J17" s="18">
        <f t="shared" si="3"/>
        <v>2056</v>
      </c>
      <c r="K17" s="18">
        <v>251</v>
      </c>
      <c r="L17" s="18">
        <v>1395</v>
      </c>
      <c r="M17" s="18">
        <v>410</v>
      </c>
    </row>
    <row r="18" spans="1:13" s="69" customFormat="1" ht="17.25" customHeight="1" x14ac:dyDescent="0.2">
      <c r="A18" s="2" t="s">
        <v>10</v>
      </c>
      <c r="B18" s="18">
        <f t="shared" si="1"/>
        <v>1605</v>
      </c>
      <c r="C18" s="18">
        <v>431</v>
      </c>
      <c r="D18" s="18">
        <v>499</v>
      </c>
      <c r="E18" s="18">
        <v>675</v>
      </c>
      <c r="F18" s="18">
        <f t="shared" si="2"/>
        <v>3075</v>
      </c>
      <c r="G18" s="18">
        <v>768</v>
      </c>
      <c r="H18" s="18">
        <v>809</v>
      </c>
      <c r="I18" s="18">
        <v>1498</v>
      </c>
      <c r="J18" s="18">
        <f t="shared" si="3"/>
        <v>3788</v>
      </c>
      <c r="K18" s="18">
        <v>840</v>
      </c>
      <c r="L18" s="18">
        <v>1188</v>
      </c>
      <c r="M18" s="18">
        <v>1760</v>
      </c>
    </row>
    <row r="19" spans="1:13" s="69" customFormat="1" ht="17.25" customHeight="1" x14ac:dyDescent="0.2">
      <c r="A19" s="2" t="s">
        <v>76</v>
      </c>
      <c r="B19" s="18" t="s">
        <v>98</v>
      </c>
      <c r="C19" s="18" t="s">
        <v>98</v>
      </c>
      <c r="D19" s="18" t="s">
        <v>98</v>
      </c>
      <c r="E19" s="18" t="s">
        <v>98</v>
      </c>
      <c r="F19" s="18" t="s">
        <v>98</v>
      </c>
      <c r="G19" s="18" t="s">
        <v>98</v>
      </c>
      <c r="H19" s="18" t="s">
        <v>98</v>
      </c>
      <c r="I19" s="18" t="s">
        <v>98</v>
      </c>
      <c r="J19" s="18" t="s">
        <v>98</v>
      </c>
      <c r="K19" s="18" t="s">
        <v>98</v>
      </c>
      <c r="L19" s="18" t="s">
        <v>98</v>
      </c>
      <c r="M19" s="18" t="s">
        <v>98</v>
      </c>
    </row>
    <row r="20" spans="1:13" s="69" customFormat="1" ht="17.25" customHeight="1" x14ac:dyDescent="0.2">
      <c r="A20" s="2" t="s">
        <v>8</v>
      </c>
      <c r="B20" s="18">
        <f t="shared" si="1"/>
        <v>5005</v>
      </c>
      <c r="C20" s="18">
        <v>1778</v>
      </c>
      <c r="D20" s="18">
        <v>3227</v>
      </c>
      <c r="E20" s="18" t="s">
        <v>98</v>
      </c>
      <c r="F20" s="18">
        <f t="shared" si="2"/>
        <v>7293</v>
      </c>
      <c r="G20" s="18">
        <v>3792</v>
      </c>
      <c r="H20" s="18">
        <v>3403</v>
      </c>
      <c r="I20" s="18">
        <v>98</v>
      </c>
      <c r="J20" s="18">
        <f t="shared" si="3"/>
        <v>7595</v>
      </c>
      <c r="K20" s="18">
        <v>3895</v>
      </c>
      <c r="L20" s="18">
        <v>3548</v>
      </c>
      <c r="M20" s="18">
        <v>152</v>
      </c>
    </row>
    <row r="21" spans="1:13" s="69" customFormat="1" ht="17.25" customHeight="1" x14ac:dyDescent="0.2">
      <c r="A21" s="2" t="s">
        <v>15</v>
      </c>
      <c r="B21" s="18">
        <f t="shared" si="1"/>
        <v>33</v>
      </c>
      <c r="C21" s="18">
        <v>25</v>
      </c>
      <c r="D21" s="18">
        <v>8</v>
      </c>
      <c r="E21" s="18" t="s">
        <v>98</v>
      </c>
      <c r="F21" s="18">
        <f t="shared" si="2"/>
        <v>76</v>
      </c>
      <c r="G21" s="18">
        <v>30</v>
      </c>
      <c r="H21" s="18">
        <v>33</v>
      </c>
      <c r="I21" s="18">
        <v>13</v>
      </c>
      <c r="J21" s="18">
        <f t="shared" si="3"/>
        <v>430</v>
      </c>
      <c r="K21" s="18">
        <v>310</v>
      </c>
      <c r="L21" s="18">
        <v>120</v>
      </c>
      <c r="M21" s="18" t="s">
        <v>98</v>
      </c>
    </row>
    <row r="22" spans="1:13" s="69" customFormat="1" ht="17.25" customHeight="1" x14ac:dyDescent="0.2">
      <c r="A22" s="2" t="s">
        <v>77</v>
      </c>
      <c r="B22" s="18">
        <f t="shared" si="1"/>
        <v>340</v>
      </c>
      <c r="C22" s="18">
        <v>68</v>
      </c>
      <c r="D22" s="18">
        <v>121</v>
      </c>
      <c r="E22" s="18">
        <v>151</v>
      </c>
      <c r="F22" s="18">
        <f t="shared" si="2"/>
        <v>382</v>
      </c>
      <c r="G22" s="18">
        <v>87</v>
      </c>
      <c r="H22" s="18">
        <v>142</v>
      </c>
      <c r="I22" s="18">
        <v>153</v>
      </c>
      <c r="J22" s="18">
        <f t="shared" si="3"/>
        <v>369</v>
      </c>
      <c r="K22" s="18">
        <v>72</v>
      </c>
      <c r="L22" s="18">
        <v>141</v>
      </c>
      <c r="M22" s="18">
        <v>156</v>
      </c>
    </row>
    <row r="23" spans="1:13" s="69" customFormat="1" ht="17.25" customHeight="1" x14ac:dyDescent="0.2">
      <c r="A23" s="2" t="s">
        <v>19</v>
      </c>
      <c r="B23" s="18">
        <f t="shared" si="1"/>
        <v>2715</v>
      </c>
      <c r="C23" s="18">
        <v>616</v>
      </c>
      <c r="D23" s="18">
        <v>1736</v>
      </c>
      <c r="E23" s="18">
        <v>363</v>
      </c>
      <c r="F23" s="18">
        <f t="shared" si="2"/>
        <v>865</v>
      </c>
      <c r="G23" s="18">
        <v>267</v>
      </c>
      <c r="H23" s="18">
        <v>378</v>
      </c>
      <c r="I23" s="18">
        <v>220</v>
      </c>
      <c r="J23" s="18">
        <f t="shared" si="3"/>
        <v>1006</v>
      </c>
      <c r="K23" s="18">
        <v>311</v>
      </c>
      <c r="L23" s="18">
        <v>430</v>
      </c>
      <c r="M23" s="18">
        <v>265</v>
      </c>
    </row>
    <row r="24" spans="1:13" s="69" customFormat="1" ht="17.25" customHeight="1" x14ac:dyDescent="0.2">
      <c r="A24" s="2" t="s">
        <v>24</v>
      </c>
      <c r="B24" s="18">
        <f t="shared" si="1"/>
        <v>995</v>
      </c>
      <c r="C24" s="18">
        <v>277</v>
      </c>
      <c r="D24" s="18">
        <v>427</v>
      </c>
      <c r="E24" s="18">
        <v>291</v>
      </c>
      <c r="F24" s="18">
        <f t="shared" si="2"/>
        <v>4850</v>
      </c>
      <c r="G24" s="18">
        <v>1619</v>
      </c>
      <c r="H24" s="18">
        <v>1242</v>
      </c>
      <c r="I24" s="18">
        <v>1989</v>
      </c>
      <c r="J24" s="18">
        <f t="shared" si="3"/>
        <v>8014</v>
      </c>
      <c r="K24" s="18">
        <v>3657</v>
      </c>
      <c r="L24" s="18">
        <v>2060</v>
      </c>
      <c r="M24" s="18">
        <v>2297</v>
      </c>
    </row>
    <row r="25" spans="1:13" s="69" customFormat="1" ht="17.25" customHeight="1" x14ac:dyDescent="0.2">
      <c r="A25" s="2" t="s">
        <v>13</v>
      </c>
      <c r="B25" s="18">
        <f t="shared" si="1"/>
        <v>710</v>
      </c>
      <c r="C25" s="18">
        <v>171</v>
      </c>
      <c r="D25" s="18">
        <v>479</v>
      </c>
      <c r="E25" s="18">
        <v>60</v>
      </c>
      <c r="F25" s="18">
        <f t="shared" si="2"/>
        <v>2099</v>
      </c>
      <c r="G25" s="18">
        <v>611</v>
      </c>
      <c r="H25" s="18">
        <v>1284</v>
      </c>
      <c r="I25" s="18">
        <v>204</v>
      </c>
      <c r="J25" s="18">
        <f t="shared" si="3"/>
        <v>2338</v>
      </c>
      <c r="K25" s="18">
        <v>735</v>
      </c>
      <c r="L25" s="18">
        <v>1420</v>
      </c>
      <c r="M25" s="18">
        <v>183</v>
      </c>
    </row>
    <row r="26" spans="1:13" s="69" customFormat="1" ht="17.25" customHeight="1" x14ac:dyDescent="0.2">
      <c r="A26" s="2" t="s">
        <v>6</v>
      </c>
      <c r="B26" s="18">
        <f t="shared" si="1"/>
        <v>3189</v>
      </c>
      <c r="C26" s="18">
        <v>320</v>
      </c>
      <c r="D26" s="18">
        <v>2232</v>
      </c>
      <c r="E26" s="18">
        <v>637</v>
      </c>
      <c r="F26" s="18">
        <f t="shared" si="2"/>
        <v>7940</v>
      </c>
      <c r="G26" s="18">
        <v>3750</v>
      </c>
      <c r="H26" s="18">
        <v>1295</v>
      </c>
      <c r="I26" s="18">
        <v>2895</v>
      </c>
      <c r="J26" s="18">
        <f t="shared" si="3"/>
        <v>10433</v>
      </c>
      <c r="K26" s="18">
        <v>5850</v>
      </c>
      <c r="L26" s="18">
        <v>1931</v>
      </c>
      <c r="M26" s="18">
        <v>2652</v>
      </c>
    </row>
    <row r="27" spans="1:13" s="69" customFormat="1" ht="17.25" customHeight="1" x14ac:dyDescent="0.2">
      <c r="A27" s="2" t="s">
        <v>78</v>
      </c>
      <c r="B27" s="18" t="s">
        <v>98</v>
      </c>
      <c r="C27" s="18" t="s">
        <v>98</v>
      </c>
      <c r="D27" s="18" t="s">
        <v>98</v>
      </c>
      <c r="E27" s="18" t="s">
        <v>98</v>
      </c>
      <c r="F27" s="18" t="s">
        <v>98</v>
      </c>
      <c r="G27" s="18" t="s">
        <v>98</v>
      </c>
      <c r="H27" s="18" t="s">
        <v>98</v>
      </c>
      <c r="I27" s="18" t="s">
        <v>98</v>
      </c>
      <c r="J27" s="18" t="s">
        <v>98</v>
      </c>
      <c r="K27" s="18" t="s">
        <v>98</v>
      </c>
      <c r="L27" s="18" t="s">
        <v>98</v>
      </c>
      <c r="M27" s="18" t="s">
        <v>98</v>
      </c>
    </row>
    <row r="28" spans="1:13" s="69" customFormat="1" ht="17.25" customHeight="1" x14ac:dyDescent="0.2">
      <c r="A28" s="2" t="s">
        <v>80</v>
      </c>
      <c r="B28" s="18" t="s">
        <v>98</v>
      </c>
      <c r="C28" s="18" t="s">
        <v>98</v>
      </c>
      <c r="D28" s="18" t="s">
        <v>98</v>
      </c>
      <c r="E28" s="18" t="s">
        <v>98</v>
      </c>
      <c r="F28" s="18" t="s">
        <v>98</v>
      </c>
      <c r="G28" s="18" t="s">
        <v>98</v>
      </c>
      <c r="H28" s="18" t="s">
        <v>98</v>
      </c>
      <c r="I28" s="18" t="s">
        <v>98</v>
      </c>
      <c r="J28" s="18" t="s">
        <v>98</v>
      </c>
      <c r="K28" s="18" t="s">
        <v>98</v>
      </c>
      <c r="L28" s="18" t="s">
        <v>98</v>
      </c>
      <c r="M28" s="18" t="s">
        <v>98</v>
      </c>
    </row>
    <row r="29" spans="1:13" s="69" customFormat="1" ht="17.25" customHeight="1" x14ac:dyDescent="0.2">
      <c r="A29" s="2" t="s">
        <v>4</v>
      </c>
      <c r="B29" s="18">
        <f t="shared" si="1"/>
        <v>5107</v>
      </c>
      <c r="C29" s="18">
        <v>511</v>
      </c>
      <c r="D29" s="18">
        <v>3575</v>
      </c>
      <c r="E29" s="18">
        <v>1021</v>
      </c>
      <c r="F29" s="18">
        <f t="shared" si="2"/>
        <v>2313</v>
      </c>
      <c r="G29" s="18">
        <v>1256</v>
      </c>
      <c r="H29" s="18">
        <v>770</v>
      </c>
      <c r="I29" s="18">
        <v>287</v>
      </c>
      <c r="J29" s="18">
        <f t="shared" si="3"/>
        <v>3592</v>
      </c>
      <c r="K29" s="18">
        <v>2155</v>
      </c>
      <c r="L29" s="18">
        <v>1034</v>
      </c>
      <c r="M29" s="18">
        <v>403</v>
      </c>
    </row>
    <row r="30" spans="1:13" s="69" customFormat="1" ht="17.25" customHeight="1" x14ac:dyDescent="0.2">
      <c r="A30" s="2" t="s">
        <v>79</v>
      </c>
      <c r="B30" s="18" t="s">
        <v>98</v>
      </c>
      <c r="C30" s="18" t="s">
        <v>98</v>
      </c>
      <c r="D30" s="18" t="s">
        <v>98</v>
      </c>
      <c r="E30" s="18" t="s">
        <v>98</v>
      </c>
      <c r="F30" s="18" t="s">
        <v>98</v>
      </c>
      <c r="G30" s="18" t="s">
        <v>98</v>
      </c>
      <c r="H30" s="18" t="s">
        <v>98</v>
      </c>
      <c r="I30" s="18" t="s">
        <v>98</v>
      </c>
      <c r="J30" s="18" t="s">
        <v>98</v>
      </c>
      <c r="K30" s="18" t="s">
        <v>98</v>
      </c>
      <c r="L30" s="18" t="s">
        <v>98</v>
      </c>
      <c r="M30" s="18" t="s">
        <v>98</v>
      </c>
    </row>
    <row r="31" spans="1:13" s="77" customFormat="1" ht="17.25" customHeight="1" x14ac:dyDescent="0.2">
      <c r="A31" s="2" t="s">
        <v>3</v>
      </c>
      <c r="B31" s="18">
        <f t="shared" si="1"/>
        <v>8184</v>
      </c>
      <c r="C31" s="18">
        <v>5998</v>
      </c>
      <c r="D31" s="18">
        <v>416</v>
      </c>
      <c r="E31" s="18">
        <v>1770</v>
      </c>
      <c r="F31" s="18">
        <f t="shared" si="2"/>
        <v>12609</v>
      </c>
      <c r="G31" s="18">
        <v>8999</v>
      </c>
      <c r="H31" s="18">
        <v>2055</v>
      </c>
      <c r="I31" s="18">
        <v>1555</v>
      </c>
      <c r="J31" s="18">
        <f t="shared" si="3"/>
        <v>14103</v>
      </c>
      <c r="K31" s="18">
        <v>9731</v>
      </c>
      <c r="L31" s="18">
        <v>2765</v>
      </c>
      <c r="M31" s="18">
        <v>1607</v>
      </c>
    </row>
    <row r="32" spans="1:13" s="69" customFormat="1" ht="17.25" customHeight="1" x14ac:dyDescent="0.2">
      <c r="A32" s="2" t="s">
        <v>81</v>
      </c>
      <c r="B32" s="18" t="s">
        <v>98</v>
      </c>
      <c r="C32" s="18" t="s">
        <v>98</v>
      </c>
      <c r="D32" s="18" t="s">
        <v>98</v>
      </c>
      <c r="E32" s="18" t="s">
        <v>98</v>
      </c>
      <c r="F32" s="18" t="s">
        <v>98</v>
      </c>
      <c r="G32" s="18" t="s">
        <v>98</v>
      </c>
      <c r="H32" s="18" t="s">
        <v>98</v>
      </c>
      <c r="I32" s="18" t="s">
        <v>98</v>
      </c>
      <c r="J32" s="18" t="s">
        <v>98</v>
      </c>
      <c r="K32" s="18" t="s">
        <v>98</v>
      </c>
      <c r="L32" s="18" t="s">
        <v>98</v>
      </c>
      <c r="M32" s="18" t="s">
        <v>98</v>
      </c>
    </row>
    <row r="33" spans="1:13" s="77" customFormat="1" ht="17.25" customHeight="1" x14ac:dyDescent="0.2">
      <c r="A33" s="2" t="s">
        <v>22</v>
      </c>
      <c r="B33" s="18" t="s">
        <v>98</v>
      </c>
      <c r="C33" s="18" t="s">
        <v>98</v>
      </c>
      <c r="D33" s="18" t="s">
        <v>98</v>
      </c>
      <c r="E33" s="18" t="s">
        <v>98</v>
      </c>
      <c r="F33" s="18" t="s">
        <v>98</v>
      </c>
      <c r="G33" s="18" t="s">
        <v>98</v>
      </c>
      <c r="H33" s="18" t="s">
        <v>98</v>
      </c>
      <c r="I33" s="18" t="s">
        <v>98</v>
      </c>
      <c r="J33" s="18">
        <f t="shared" si="3"/>
        <v>982</v>
      </c>
      <c r="K33" s="18">
        <v>413</v>
      </c>
      <c r="L33" s="18">
        <v>521</v>
      </c>
      <c r="M33" s="18">
        <v>48</v>
      </c>
    </row>
    <row r="34" spans="1:13" s="69" customFormat="1" ht="17.25" customHeight="1" x14ac:dyDescent="0.2">
      <c r="A34" s="2" t="s">
        <v>7</v>
      </c>
      <c r="B34" s="18">
        <f t="shared" si="1"/>
        <v>2570</v>
      </c>
      <c r="C34" s="18">
        <v>258</v>
      </c>
      <c r="D34" s="18">
        <v>1798</v>
      </c>
      <c r="E34" s="18">
        <v>514</v>
      </c>
      <c r="F34" s="18">
        <f t="shared" si="2"/>
        <v>336</v>
      </c>
      <c r="G34" s="18">
        <v>106</v>
      </c>
      <c r="H34" s="18">
        <v>120</v>
      </c>
      <c r="I34" s="18">
        <v>110</v>
      </c>
      <c r="J34" s="18">
        <f t="shared" si="3"/>
        <v>2054</v>
      </c>
      <c r="K34" s="18">
        <v>758</v>
      </c>
      <c r="L34" s="18">
        <v>721</v>
      </c>
      <c r="M34" s="18">
        <v>575</v>
      </c>
    </row>
    <row r="35" spans="1:13" s="69" customFormat="1" ht="17.25" customHeight="1" x14ac:dyDescent="0.2">
      <c r="A35" s="2" t="s">
        <v>21</v>
      </c>
      <c r="B35" s="18">
        <f t="shared" si="1"/>
        <v>5376</v>
      </c>
      <c r="C35" s="18">
        <v>975</v>
      </c>
      <c r="D35" s="18">
        <v>4380</v>
      </c>
      <c r="E35" s="18">
        <v>21</v>
      </c>
      <c r="F35" s="18">
        <f t="shared" si="2"/>
        <v>3161</v>
      </c>
      <c r="G35" s="18">
        <v>1125</v>
      </c>
      <c r="H35" s="18">
        <v>1823</v>
      </c>
      <c r="I35" s="18">
        <v>213</v>
      </c>
      <c r="J35" s="18">
        <f t="shared" si="3"/>
        <v>3611</v>
      </c>
      <c r="K35" s="18">
        <v>1698</v>
      </c>
      <c r="L35" s="18">
        <v>1833</v>
      </c>
      <c r="M35" s="18">
        <v>80</v>
      </c>
    </row>
    <row r="36" spans="1:13" s="69" customFormat="1" ht="17.25" customHeight="1" x14ac:dyDescent="0.2">
      <c r="A36" s="2" t="s">
        <v>17</v>
      </c>
      <c r="B36" s="18">
        <f t="shared" si="1"/>
        <v>2877</v>
      </c>
      <c r="C36" s="18">
        <v>992</v>
      </c>
      <c r="D36" s="18">
        <v>837</v>
      </c>
      <c r="E36" s="18">
        <v>1048</v>
      </c>
      <c r="F36" s="18">
        <f t="shared" si="2"/>
        <v>2542</v>
      </c>
      <c r="G36" s="18">
        <v>783</v>
      </c>
      <c r="H36" s="18">
        <v>817</v>
      </c>
      <c r="I36" s="18">
        <v>942</v>
      </c>
      <c r="J36" s="18">
        <f t="shared" si="3"/>
        <v>2662</v>
      </c>
      <c r="K36" s="18">
        <v>948</v>
      </c>
      <c r="L36" s="18">
        <v>888</v>
      </c>
      <c r="M36" s="18">
        <v>826</v>
      </c>
    </row>
    <row r="37" spans="1:13" s="69" customFormat="1" ht="17.25" customHeight="1" x14ac:dyDescent="0.2">
      <c r="A37" s="2" t="s">
        <v>67</v>
      </c>
      <c r="B37" s="18" t="s">
        <v>98</v>
      </c>
      <c r="C37" s="18" t="s">
        <v>98</v>
      </c>
      <c r="D37" s="18" t="s">
        <v>98</v>
      </c>
      <c r="E37" s="18" t="s">
        <v>98</v>
      </c>
      <c r="F37" s="18" t="s">
        <v>98</v>
      </c>
      <c r="G37" s="18" t="s">
        <v>98</v>
      </c>
      <c r="H37" s="18" t="s">
        <v>98</v>
      </c>
      <c r="I37" s="18" t="s">
        <v>98</v>
      </c>
      <c r="J37" s="18">
        <f t="shared" si="3"/>
        <v>780</v>
      </c>
      <c r="K37" s="18">
        <v>203</v>
      </c>
      <c r="L37" s="18">
        <v>406</v>
      </c>
      <c r="M37" s="18">
        <v>171</v>
      </c>
    </row>
    <row r="38" spans="1:13" ht="6.75" customHeight="1" x14ac:dyDescent="0.2">
      <c r="A38" s="3"/>
      <c r="B38" s="49"/>
      <c r="C38" s="50"/>
      <c r="D38" s="50"/>
      <c r="E38" s="50"/>
      <c r="F38" s="10"/>
      <c r="G38" s="10"/>
      <c r="H38" s="10"/>
      <c r="I38" s="10"/>
      <c r="J38" s="10"/>
      <c r="K38" s="10"/>
      <c r="L38" s="10"/>
      <c r="M38" s="10"/>
    </row>
    <row r="39" spans="1:13" s="38" customFormat="1" ht="12.6" customHeight="1" x14ac:dyDescent="0.2">
      <c r="A39" s="12"/>
      <c r="B39" s="12"/>
      <c r="C39" s="12"/>
      <c r="D39" s="12"/>
      <c r="E39" s="12"/>
      <c r="F39" s="11"/>
      <c r="G39" s="12"/>
      <c r="H39" s="12"/>
      <c r="I39" s="16"/>
      <c r="J39" s="12"/>
      <c r="K39" s="51"/>
      <c r="L39" s="51"/>
      <c r="M39" s="13" t="s">
        <v>72</v>
      </c>
    </row>
    <row r="40" spans="1:13" ht="60" customHeight="1" x14ac:dyDescent="0.2">
      <c r="A40" s="86" t="s">
        <v>91</v>
      </c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</row>
    <row r="41" spans="1:13" s="38" customFormat="1" ht="12" x14ac:dyDescent="0.2">
      <c r="A41" s="12" t="s">
        <v>52</v>
      </c>
      <c r="B41" s="12"/>
      <c r="C41" s="12"/>
      <c r="D41" s="12"/>
      <c r="E41" s="12"/>
      <c r="F41" s="12"/>
      <c r="G41" s="14"/>
      <c r="H41" s="12"/>
      <c r="I41" s="12"/>
      <c r="J41" s="12"/>
      <c r="K41" s="12"/>
      <c r="L41" s="103" t="s">
        <v>25</v>
      </c>
      <c r="M41" s="103"/>
    </row>
    <row r="42" spans="1:13" ht="21.95" customHeight="1" x14ac:dyDescent="0.2">
      <c r="A42" s="106" t="s">
        <v>0</v>
      </c>
      <c r="B42" s="108" t="s">
        <v>74</v>
      </c>
      <c r="C42" s="109"/>
      <c r="D42" s="109"/>
      <c r="E42" s="110"/>
      <c r="F42" s="111" t="s">
        <v>82</v>
      </c>
      <c r="G42" s="112"/>
      <c r="H42" s="112"/>
      <c r="I42" s="113"/>
      <c r="J42" s="105" t="s">
        <v>94</v>
      </c>
      <c r="K42" s="105"/>
      <c r="L42" s="105"/>
      <c r="M42" s="105"/>
    </row>
    <row r="43" spans="1:13" ht="25.5" customHeight="1" x14ac:dyDescent="0.2">
      <c r="A43" s="107"/>
      <c r="B43" s="47" t="s">
        <v>2</v>
      </c>
      <c r="C43" s="47" t="s">
        <v>46</v>
      </c>
      <c r="D43" s="47" t="s">
        <v>47</v>
      </c>
      <c r="E43" s="47" t="s">
        <v>38</v>
      </c>
      <c r="F43" s="47" t="s">
        <v>2</v>
      </c>
      <c r="G43" s="47" t="s">
        <v>46</v>
      </c>
      <c r="H43" s="47" t="s">
        <v>47</v>
      </c>
      <c r="I43" s="47" t="s">
        <v>38</v>
      </c>
      <c r="J43" s="47" t="s">
        <v>2</v>
      </c>
      <c r="K43" s="47" t="s">
        <v>46</v>
      </c>
      <c r="L43" s="47" t="s">
        <v>47</v>
      </c>
      <c r="M43" s="47" t="s">
        <v>38</v>
      </c>
    </row>
    <row r="44" spans="1:13" s="69" customFormat="1" ht="25.5" customHeight="1" x14ac:dyDescent="0.2">
      <c r="A44" s="6" t="s">
        <v>63</v>
      </c>
      <c r="B44" s="52">
        <f t="shared" ref="B44:I44" si="4">SUM(B45:B76)</f>
        <v>120532</v>
      </c>
      <c r="C44" s="52">
        <f t="shared" si="4"/>
        <v>25704</v>
      </c>
      <c r="D44" s="52">
        <f t="shared" si="4"/>
        <v>54780</v>
      </c>
      <c r="E44" s="52">
        <f t="shared" si="4"/>
        <v>40048</v>
      </c>
      <c r="F44" s="52">
        <f t="shared" si="4"/>
        <v>158022</v>
      </c>
      <c r="G44" s="52">
        <f t="shared" si="4"/>
        <v>38631</v>
      </c>
      <c r="H44" s="52">
        <f t="shared" si="4"/>
        <v>72476</v>
      </c>
      <c r="I44" s="52">
        <f t="shared" si="4"/>
        <v>46915</v>
      </c>
      <c r="J44" s="52">
        <f>SUM(J45:J76)</f>
        <v>176523</v>
      </c>
      <c r="K44" s="52">
        <f>SUM(K45:K76)</f>
        <v>45366</v>
      </c>
      <c r="L44" s="52">
        <f>SUM(L45:L76)</f>
        <v>86782</v>
      </c>
      <c r="M44" s="52">
        <f>SUM(M45:M76)</f>
        <v>44375</v>
      </c>
    </row>
    <row r="45" spans="1:13" s="69" customFormat="1" ht="17.45" customHeight="1" x14ac:dyDescent="0.2">
      <c r="A45" s="2" t="s">
        <v>11</v>
      </c>
      <c r="B45" s="18">
        <f>SUM(C45:E45)</f>
        <v>3992</v>
      </c>
      <c r="C45" s="18">
        <v>398</v>
      </c>
      <c r="D45" s="18">
        <v>2795</v>
      </c>
      <c r="E45" s="18">
        <v>799</v>
      </c>
      <c r="F45" s="18">
        <f>SUM(G45:I45)</f>
        <v>1439</v>
      </c>
      <c r="G45" s="18">
        <v>400</v>
      </c>
      <c r="H45" s="18">
        <v>354</v>
      </c>
      <c r="I45" s="18">
        <v>685</v>
      </c>
      <c r="J45" s="18">
        <f t="shared" ref="J45:J57" si="5">SUM(K45:M45)</f>
        <v>3680</v>
      </c>
      <c r="K45" s="18">
        <v>1206</v>
      </c>
      <c r="L45" s="18">
        <v>946</v>
      </c>
      <c r="M45" s="18">
        <v>1528</v>
      </c>
    </row>
    <row r="46" spans="1:13" s="69" customFormat="1" ht="17.45" customHeight="1" x14ac:dyDescent="0.2">
      <c r="A46" s="2" t="s">
        <v>75</v>
      </c>
      <c r="B46" s="18">
        <f t="shared" ref="B46:B75" si="6">SUM(C46:E46)</f>
        <v>2230</v>
      </c>
      <c r="C46" s="18">
        <v>645</v>
      </c>
      <c r="D46" s="18">
        <v>941</v>
      </c>
      <c r="E46" s="18">
        <v>644</v>
      </c>
      <c r="F46" s="18">
        <f t="shared" ref="F46:F75" si="7">SUM(G46:I46)</f>
        <v>1951</v>
      </c>
      <c r="G46" s="18">
        <v>546</v>
      </c>
      <c r="H46" s="18">
        <v>513</v>
      </c>
      <c r="I46" s="18">
        <v>892</v>
      </c>
      <c r="J46" s="18">
        <f t="shared" si="5"/>
        <v>1588</v>
      </c>
      <c r="K46" s="18">
        <v>480</v>
      </c>
      <c r="L46" s="18">
        <v>387</v>
      </c>
      <c r="M46" s="18">
        <v>721</v>
      </c>
    </row>
    <row r="47" spans="1:13" s="69" customFormat="1" ht="17.45" customHeight="1" x14ac:dyDescent="0.2">
      <c r="A47" s="2" t="s">
        <v>18</v>
      </c>
      <c r="B47" s="18">
        <f t="shared" si="6"/>
        <v>25599</v>
      </c>
      <c r="C47" s="18">
        <v>12543</v>
      </c>
      <c r="D47" s="18">
        <v>12549</v>
      </c>
      <c r="E47" s="18">
        <v>507</v>
      </c>
      <c r="F47" s="18">
        <f t="shared" si="7"/>
        <v>27591</v>
      </c>
      <c r="G47" s="18">
        <v>13818</v>
      </c>
      <c r="H47" s="18">
        <v>12642</v>
      </c>
      <c r="I47" s="18">
        <v>1131</v>
      </c>
      <c r="J47" s="18">
        <f t="shared" si="5"/>
        <v>28388</v>
      </c>
      <c r="K47" s="18">
        <v>12998</v>
      </c>
      <c r="L47" s="18">
        <v>13890</v>
      </c>
      <c r="M47" s="18">
        <v>1500</v>
      </c>
    </row>
    <row r="48" spans="1:13" s="69" customFormat="1" ht="17.45" customHeight="1" x14ac:dyDescent="0.2">
      <c r="A48" s="2" t="s">
        <v>14</v>
      </c>
      <c r="B48" s="18">
        <f t="shared" si="6"/>
        <v>611</v>
      </c>
      <c r="C48" s="18">
        <v>356</v>
      </c>
      <c r="D48" s="18">
        <v>255</v>
      </c>
      <c r="E48" s="18" t="s">
        <v>98</v>
      </c>
      <c r="F48" s="18">
        <f t="shared" si="7"/>
        <v>169</v>
      </c>
      <c r="G48" s="18">
        <v>71</v>
      </c>
      <c r="H48" s="18" t="s">
        <v>98</v>
      </c>
      <c r="I48" s="18">
        <v>98</v>
      </c>
      <c r="J48" s="18">
        <f t="shared" si="5"/>
        <v>4182</v>
      </c>
      <c r="K48" s="18">
        <v>610</v>
      </c>
      <c r="L48" s="18">
        <v>2592</v>
      </c>
      <c r="M48" s="18">
        <v>980</v>
      </c>
    </row>
    <row r="49" spans="1:13" s="69" customFormat="1" ht="17.45" customHeight="1" x14ac:dyDescent="0.2">
      <c r="A49" s="2" t="s">
        <v>23</v>
      </c>
      <c r="B49" s="18">
        <f t="shared" si="6"/>
        <v>4271</v>
      </c>
      <c r="C49" s="18">
        <v>427</v>
      </c>
      <c r="D49" s="18">
        <v>2990</v>
      </c>
      <c r="E49" s="18">
        <v>854</v>
      </c>
      <c r="F49" s="18">
        <f t="shared" si="7"/>
        <v>4674</v>
      </c>
      <c r="G49" s="18">
        <v>1177</v>
      </c>
      <c r="H49" s="18">
        <v>1890</v>
      </c>
      <c r="I49" s="18">
        <v>1607</v>
      </c>
      <c r="J49" s="18">
        <f t="shared" si="5"/>
        <v>4988</v>
      </c>
      <c r="K49" s="18">
        <v>1288</v>
      </c>
      <c r="L49" s="18">
        <v>1780</v>
      </c>
      <c r="M49" s="18">
        <v>1920</v>
      </c>
    </row>
    <row r="50" spans="1:13" s="69" customFormat="1" ht="17.45" customHeight="1" x14ac:dyDescent="0.2">
      <c r="A50" s="2" t="s">
        <v>5</v>
      </c>
      <c r="B50" s="18">
        <f t="shared" si="6"/>
        <v>2622</v>
      </c>
      <c r="C50" s="18">
        <v>263</v>
      </c>
      <c r="D50" s="18">
        <v>1835</v>
      </c>
      <c r="E50" s="18">
        <v>524</v>
      </c>
      <c r="F50" s="18">
        <f t="shared" si="7"/>
        <v>7648</v>
      </c>
      <c r="G50" s="18">
        <v>1859</v>
      </c>
      <c r="H50" s="18">
        <v>3868</v>
      </c>
      <c r="I50" s="18">
        <v>1921</v>
      </c>
      <c r="J50" s="18">
        <f t="shared" si="5"/>
        <v>8161</v>
      </c>
      <c r="K50" s="18">
        <v>1799</v>
      </c>
      <c r="L50" s="18">
        <v>2646</v>
      </c>
      <c r="M50" s="18">
        <v>3716</v>
      </c>
    </row>
    <row r="51" spans="1:13" s="69" customFormat="1" ht="17.45" customHeight="1" x14ac:dyDescent="0.2">
      <c r="A51" s="2" t="s">
        <v>20</v>
      </c>
      <c r="B51" s="18">
        <f t="shared" si="6"/>
        <v>1954</v>
      </c>
      <c r="C51" s="18">
        <v>196</v>
      </c>
      <c r="D51" s="18">
        <v>1367</v>
      </c>
      <c r="E51" s="18">
        <v>391</v>
      </c>
      <c r="F51" s="18">
        <f t="shared" si="7"/>
        <v>3620</v>
      </c>
      <c r="G51" s="18">
        <v>1132</v>
      </c>
      <c r="H51" s="18">
        <v>1241</v>
      </c>
      <c r="I51" s="18">
        <v>1247</v>
      </c>
      <c r="J51" s="18">
        <f t="shared" si="5"/>
        <v>1026</v>
      </c>
      <c r="K51" s="18">
        <v>339</v>
      </c>
      <c r="L51" s="18">
        <v>288</v>
      </c>
      <c r="M51" s="18">
        <v>399</v>
      </c>
    </row>
    <row r="52" spans="1:13" s="69" customFormat="1" ht="17.45" customHeight="1" x14ac:dyDescent="0.2">
      <c r="A52" s="2" t="s">
        <v>16</v>
      </c>
      <c r="B52" s="18">
        <f t="shared" si="6"/>
        <v>998</v>
      </c>
      <c r="C52" s="18">
        <v>101</v>
      </c>
      <c r="D52" s="18">
        <v>698</v>
      </c>
      <c r="E52" s="18">
        <v>199</v>
      </c>
      <c r="F52" s="18">
        <f t="shared" si="7"/>
        <v>2150</v>
      </c>
      <c r="G52" s="18">
        <v>1</v>
      </c>
      <c r="H52" s="18" t="s">
        <v>98</v>
      </c>
      <c r="I52" s="18">
        <v>2149</v>
      </c>
      <c r="J52" s="18">
        <f t="shared" si="5"/>
        <v>4664</v>
      </c>
      <c r="K52" s="18">
        <v>799</v>
      </c>
      <c r="L52" s="18">
        <v>1280</v>
      </c>
      <c r="M52" s="18">
        <v>2585</v>
      </c>
    </row>
    <row r="53" spans="1:13" s="69" customFormat="1" ht="17.45" customHeight="1" x14ac:dyDescent="0.2">
      <c r="A53" s="2" t="s">
        <v>68</v>
      </c>
      <c r="B53" s="18">
        <f t="shared" si="6"/>
        <v>58</v>
      </c>
      <c r="C53" s="18">
        <v>22</v>
      </c>
      <c r="D53" s="18">
        <v>33</v>
      </c>
      <c r="E53" s="18">
        <v>3</v>
      </c>
      <c r="F53" s="18">
        <f t="shared" si="7"/>
        <v>5017</v>
      </c>
      <c r="G53" s="18">
        <v>772</v>
      </c>
      <c r="H53" s="18">
        <v>2904</v>
      </c>
      <c r="I53" s="18">
        <v>1341</v>
      </c>
      <c r="J53" s="18">
        <f t="shared" si="5"/>
        <v>5426</v>
      </c>
      <c r="K53" s="18">
        <v>1134</v>
      </c>
      <c r="L53" s="18">
        <v>1345</v>
      </c>
      <c r="M53" s="18">
        <v>2947</v>
      </c>
    </row>
    <row r="54" spans="1:13" s="69" customFormat="1" ht="17.45" customHeight="1" x14ac:dyDescent="0.2">
      <c r="A54" s="2" t="s">
        <v>69</v>
      </c>
      <c r="B54" s="18">
        <f t="shared" si="6"/>
        <v>3101</v>
      </c>
      <c r="C54" s="18">
        <v>311</v>
      </c>
      <c r="D54" s="18">
        <v>2170</v>
      </c>
      <c r="E54" s="18">
        <v>620</v>
      </c>
      <c r="F54" s="18">
        <f t="shared" si="7"/>
        <v>1581</v>
      </c>
      <c r="G54" s="18">
        <v>523</v>
      </c>
      <c r="H54" s="18">
        <v>333</v>
      </c>
      <c r="I54" s="18">
        <v>725</v>
      </c>
      <c r="J54" s="18">
        <f t="shared" si="5"/>
        <v>2776</v>
      </c>
      <c r="K54" s="18">
        <v>339</v>
      </c>
      <c r="L54" s="18">
        <v>886</v>
      </c>
      <c r="M54" s="18">
        <v>1551</v>
      </c>
    </row>
    <row r="55" spans="1:13" s="69" customFormat="1" ht="17.45" customHeight="1" x14ac:dyDescent="0.2">
      <c r="A55" s="2" t="s">
        <v>9</v>
      </c>
      <c r="B55" s="18">
        <f t="shared" si="6"/>
        <v>270</v>
      </c>
      <c r="C55" s="18" t="s">
        <v>98</v>
      </c>
      <c r="D55" s="18">
        <v>270</v>
      </c>
      <c r="E55" s="18" t="s">
        <v>98</v>
      </c>
      <c r="F55" s="18">
        <f t="shared" si="7"/>
        <v>2778</v>
      </c>
      <c r="G55" s="18">
        <v>803</v>
      </c>
      <c r="H55" s="18">
        <v>1234</v>
      </c>
      <c r="I55" s="18">
        <v>741</v>
      </c>
      <c r="J55" s="18">
        <f t="shared" si="5"/>
        <v>4437</v>
      </c>
      <c r="K55" s="18">
        <v>213</v>
      </c>
      <c r="L55" s="18">
        <v>3432</v>
      </c>
      <c r="M55" s="18">
        <v>792</v>
      </c>
    </row>
    <row r="56" spans="1:13" s="69" customFormat="1" ht="17.45" customHeight="1" x14ac:dyDescent="0.2">
      <c r="A56" s="2" t="s">
        <v>12</v>
      </c>
      <c r="B56" s="18">
        <f t="shared" si="6"/>
        <v>1148</v>
      </c>
      <c r="C56" s="18">
        <v>115</v>
      </c>
      <c r="D56" s="18">
        <v>804</v>
      </c>
      <c r="E56" s="18">
        <v>229</v>
      </c>
      <c r="F56" s="18">
        <f t="shared" si="7"/>
        <v>456</v>
      </c>
      <c r="G56" s="18">
        <v>46</v>
      </c>
      <c r="H56" s="18">
        <v>298</v>
      </c>
      <c r="I56" s="18">
        <v>112</v>
      </c>
      <c r="J56" s="18">
        <f t="shared" si="5"/>
        <v>1461</v>
      </c>
      <c r="K56" s="18">
        <v>126</v>
      </c>
      <c r="L56" s="18">
        <v>1024</v>
      </c>
      <c r="M56" s="18">
        <v>311</v>
      </c>
    </row>
    <row r="57" spans="1:13" s="69" customFormat="1" ht="17.45" customHeight="1" x14ac:dyDescent="0.2">
      <c r="A57" s="2" t="s">
        <v>10</v>
      </c>
      <c r="B57" s="18">
        <f t="shared" si="6"/>
        <v>3085</v>
      </c>
      <c r="C57" s="18">
        <v>411</v>
      </c>
      <c r="D57" s="18">
        <v>1741</v>
      </c>
      <c r="E57" s="18">
        <v>933</v>
      </c>
      <c r="F57" s="18">
        <f t="shared" si="7"/>
        <v>8759</v>
      </c>
      <c r="G57" s="18">
        <v>933</v>
      </c>
      <c r="H57" s="18">
        <v>5779</v>
      </c>
      <c r="I57" s="18">
        <v>2047</v>
      </c>
      <c r="J57" s="18">
        <f t="shared" si="5"/>
        <v>6600</v>
      </c>
      <c r="K57" s="18">
        <v>1200</v>
      </c>
      <c r="L57" s="18">
        <v>3120</v>
      </c>
      <c r="M57" s="18">
        <v>2280</v>
      </c>
    </row>
    <row r="58" spans="1:13" s="69" customFormat="1" ht="17.45" customHeight="1" x14ac:dyDescent="0.2">
      <c r="A58" s="2" t="s">
        <v>76</v>
      </c>
      <c r="B58" s="18" t="s">
        <v>98</v>
      </c>
      <c r="C58" s="18" t="s">
        <v>98</v>
      </c>
      <c r="D58" s="18" t="s">
        <v>98</v>
      </c>
      <c r="E58" s="18" t="s">
        <v>98</v>
      </c>
      <c r="F58" s="18" t="s">
        <v>98</v>
      </c>
      <c r="G58" s="18" t="s">
        <v>98</v>
      </c>
      <c r="H58" s="18" t="s">
        <v>98</v>
      </c>
      <c r="I58" s="18" t="s">
        <v>98</v>
      </c>
      <c r="J58" s="18" t="s">
        <v>98</v>
      </c>
      <c r="K58" s="18" t="s">
        <v>98</v>
      </c>
      <c r="L58" s="18" t="s">
        <v>98</v>
      </c>
      <c r="M58" s="18" t="s">
        <v>98</v>
      </c>
    </row>
    <row r="59" spans="1:13" s="69" customFormat="1" ht="17.45" customHeight="1" x14ac:dyDescent="0.2">
      <c r="A59" s="2" t="s">
        <v>8</v>
      </c>
      <c r="B59" s="18">
        <f t="shared" si="6"/>
        <v>981</v>
      </c>
      <c r="C59" s="18">
        <v>161</v>
      </c>
      <c r="D59" s="18">
        <v>742</v>
      </c>
      <c r="E59" s="18">
        <v>78</v>
      </c>
      <c r="F59" s="18">
        <f t="shared" si="7"/>
        <v>3519</v>
      </c>
      <c r="G59" s="18">
        <v>1185</v>
      </c>
      <c r="H59" s="18">
        <v>2150</v>
      </c>
      <c r="I59" s="18">
        <v>184</v>
      </c>
      <c r="J59" s="18">
        <f t="shared" ref="J59:J65" si="8">SUM(K59:M59)</f>
        <v>3855</v>
      </c>
      <c r="K59" s="18">
        <v>1280</v>
      </c>
      <c r="L59" s="18">
        <v>2341</v>
      </c>
      <c r="M59" s="18">
        <v>234</v>
      </c>
    </row>
    <row r="60" spans="1:13" s="69" customFormat="1" ht="17.45" customHeight="1" x14ac:dyDescent="0.2">
      <c r="A60" s="2" t="s">
        <v>15</v>
      </c>
      <c r="B60" s="18">
        <f t="shared" si="6"/>
        <v>271</v>
      </c>
      <c r="C60" s="18">
        <v>27</v>
      </c>
      <c r="D60" s="18">
        <v>34</v>
      </c>
      <c r="E60" s="18">
        <v>210</v>
      </c>
      <c r="F60" s="18">
        <f t="shared" si="7"/>
        <v>344</v>
      </c>
      <c r="G60" s="18">
        <v>241</v>
      </c>
      <c r="H60" s="18">
        <v>75</v>
      </c>
      <c r="I60" s="18">
        <v>28</v>
      </c>
      <c r="J60" s="18">
        <f t="shared" si="8"/>
        <v>200</v>
      </c>
      <c r="K60" s="18">
        <v>70</v>
      </c>
      <c r="L60" s="18">
        <v>130</v>
      </c>
      <c r="M60" s="18" t="s">
        <v>98</v>
      </c>
    </row>
    <row r="61" spans="1:13" s="69" customFormat="1" ht="17.45" customHeight="1" x14ac:dyDescent="0.2">
      <c r="A61" s="2" t="s">
        <v>77</v>
      </c>
      <c r="B61" s="18">
        <f t="shared" si="6"/>
        <v>111</v>
      </c>
      <c r="C61" s="18">
        <v>33</v>
      </c>
      <c r="D61" s="18">
        <v>37</v>
      </c>
      <c r="E61" s="18">
        <v>41</v>
      </c>
      <c r="F61" s="18">
        <f t="shared" si="7"/>
        <v>145</v>
      </c>
      <c r="G61" s="18">
        <v>42</v>
      </c>
      <c r="H61" s="18">
        <v>64</v>
      </c>
      <c r="I61" s="18">
        <v>39</v>
      </c>
      <c r="J61" s="18">
        <f t="shared" si="8"/>
        <v>160</v>
      </c>
      <c r="K61" s="18">
        <v>35</v>
      </c>
      <c r="L61" s="18">
        <v>78</v>
      </c>
      <c r="M61" s="18">
        <v>47</v>
      </c>
    </row>
    <row r="62" spans="1:13" s="69" customFormat="1" ht="17.45" customHeight="1" x14ac:dyDescent="0.2">
      <c r="A62" s="2" t="s">
        <v>19</v>
      </c>
      <c r="B62" s="18">
        <f t="shared" si="6"/>
        <v>13552</v>
      </c>
      <c r="C62" s="18">
        <v>1396</v>
      </c>
      <c r="D62" s="18">
        <v>6876</v>
      </c>
      <c r="E62" s="18">
        <v>5280</v>
      </c>
      <c r="F62" s="18">
        <f t="shared" si="7"/>
        <v>6438</v>
      </c>
      <c r="G62" s="18">
        <v>882</v>
      </c>
      <c r="H62" s="18">
        <v>2918</v>
      </c>
      <c r="I62" s="18">
        <v>2638</v>
      </c>
      <c r="J62" s="18">
        <f t="shared" si="8"/>
        <v>6349</v>
      </c>
      <c r="K62" s="18">
        <v>941</v>
      </c>
      <c r="L62" s="18">
        <v>3063</v>
      </c>
      <c r="M62" s="18">
        <v>2345</v>
      </c>
    </row>
    <row r="63" spans="1:13" s="69" customFormat="1" ht="17.45" customHeight="1" x14ac:dyDescent="0.2">
      <c r="A63" s="2" t="s">
        <v>24</v>
      </c>
      <c r="B63" s="18">
        <f t="shared" si="6"/>
        <v>1141</v>
      </c>
      <c r="C63" s="18">
        <v>218</v>
      </c>
      <c r="D63" s="18">
        <v>408</v>
      </c>
      <c r="E63" s="18">
        <v>515</v>
      </c>
      <c r="F63" s="18">
        <f t="shared" si="7"/>
        <v>4039</v>
      </c>
      <c r="G63" s="18">
        <v>555</v>
      </c>
      <c r="H63" s="18">
        <v>1734</v>
      </c>
      <c r="I63" s="18">
        <v>1750</v>
      </c>
      <c r="J63" s="18">
        <f t="shared" si="8"/>
        <v>5972</v>
      </c>
      <c r="K63" s="18">
        <v>2318</v>
      </c>
      <c r="L63" s="18">
        <v>1751</v>
      </c>
      <c r="M63" s="18">
        <v>1903</v>
      </c>
    </row>
    <row r="64" spans="1:13" s="69" customFormat="1" ht="17.45" customHeight="1" x14ac:dyDescent="0.2">
      <c r="A64" s="2" t="s">
        <v>13</v>
      </c>
      <c r="B64" s="18">
        <f t="shared" si="6"/>
        <v>327</v>
      </c>
      <c r="C64" s="18">
        <v>85</v>
      </c>
      <c r="D64" s="18">
        <v>156</v>
      </c>
      <c r="E64" s="18">
        <v>86</v>
      </c>
      <c r="F64" s="18">
        <f t="shared" si="7"/>
        <v>1506</v>
      </c>
      <c r="G64" s="18">
        <v>236</v>
      </c>
      <c r="H64" s="18">
        <v>696</v>
      </c>
      <c r="I64" s="18">
        <v>574</v>
      </c>
      <c r="J64" s="18">
        <f t="shared" si="8"/>
        <v>1900</v>
      </c>
      <c r="K64" s="18">
        <v>404</v>
      </c>
      <c r="L64" s="18">
        <v>1137</v>
      </c>
      <c r="M64" s="18">
        <v>359</v>
      </c>
    </row>
    <row r="65" spans="1:13" s="69" customFormat="1" ht="17.45" customHeight="1" x14ac:dyDescent="0.2">
      <c r="A65" s="2" t="s">
        <v>6</v>
      </c>
      <c r="B65" s="18">
        <f t="shared" si="6"/>
        <v>3588</v>
      </c>
      <c r="C65" s="18">
        <v>358</v>
      </c>
      <c r="D65" s="18">
        <v>2515</v>
      </c>
      <c r="E65" s="18">
        <v>715</v>
      </c>
      <c r="F65" s="18">
        <f t="shared" si="7"/>
        <v>12032</v>
      </c>
      <c r="G65" s="18">
        <v>1645</v>
      </c>
      <c r="H65" s="18">
        <v>8253</v>
      </c>
      <c r="I65" s="18">
        <v>2134</v>
      </c>
      <c r="J65" s="18">
        <f t="shared" si="8"/>
        <v>21170</v>
      </c>
      <c r="K65" s="18">
        <v>2474</v>
      </c>
      <c r="L65" s="18">
        <v>13134</v>
      </c>
      <c r="M65" s="18">
        <v>5562</v>
      </c>
    </row>
    <row r="66" spans="1:13" s="69" customFormat="1" ht="17.45" customHeight="1" x14ac:dyDescent="0.2">
      <c r="A66" s="2" t="s">
        <v>78</v>
      </c>
      <c r="B66" s="18" t="s">
        <v>98</v>
      </c>
      <c r="C66" s="18" t="s">
        <v>98</v>
      </c>
      <c r="D66" s="18" t="s">
        <v>98</v>
      </c>
      <c r="E66" s="18" t="s">
        <v>98</v>
      </c>
      <c r="F66" s="18" t="s">
        <v>98</v>
      </c>
      <c r="G66" s="18" t="s">
        <v>98</v>
      </c>
      <c r="H66" s="18" t="s">
        <v>98</v>
      </c>
      <c r="I66" s="18" t="s">
        <v>98</v>
      </c>
      <c r="J66" s="18" t="s">
        <v>98</v>
      </c>
      <c r="K66" s="18" t="s">
        <v>98</v>
      </c>
      <c r="L66" s="18" t="s">
        <v>98</v>
      </c>
      <c r="M66" s="18" t="s">
        <v>98</v>
      </c>
    </row>
    <row r="67" spans="1:13" s="69" customFormat="1" ht="17.45" customHeight="1" x14ac:dyDescent="0.2">
      <c r="A67" s="2" t="s">
        <v>80</v>
      </c>
      <c r="B67" s="18" t="s">
        <v>98</v>
      </c>
      <c r="C67" s="18" t="s">
        <v>98</v>
      </c>
      <c r="D67" s="18" t="s">
        <v>98</v>
      </c>
      <c r="E67" s="18" t="s">
        <v>98</v>
      </c>
      <c r="F67" s="18" t="s">
        <v>98</v>
      </c>
      <c r="G67" s="18" t="s">
        <v>98</v>
      </c>
      <c r="H67" s="18" t="s">
        <v>98</v>
      </c>
      <c r="I67" s="18" t="s">
        <v>98</v>
      </c>
      <c r="J67" s="18" t="s">
        <v>98</v>
      </c>
      <c r="K67" s="18" t="s">
        <v>98</v>
      </c>
      <c r="L67" s="18" t="s">
        <v>98</v>
      </c>
      <c r="M67" s="18" t="s">
        <v>98</v>
      </c>
    </row>
    <row r="68" spans="1:13" s="69" customFormat="1" ht="17.45" customHeight="1" x14ac:dyDescent="0.2">
      <c r="A68" s="2" t="s">
        <v>4</v>
      </c>
      <c r="B68" s="18">
        <f t="shared" si="6"/>
        <v>2807</v>
      </c>
      <c r="C68" s="18">
        <v>281</v>
      </c>
      <c r="D68" s="18">
        <v>1964</v>
      </c>
      <c r="E68" s="18">
        <v>562</v>
      </c>
      <c r="F68" s="18">
        <f t="shared" si="7"/>
        <v>4239</v>
      </c>
      <c r="G68" s="18">
        <v>449</v>
      </c>
      <c r="H68" s="18">
        <v>2943</v>
      </c>
      <c r="I68" s="18">
        <v>847</v>
      </c>
      <c r="J68" s="18">
        <f>SUM(K68:M68)</f>
        <v>4858</v>
      </c>
      <c r="K68" s="18">
        <v>551</v>
      </c>
      <c r="L68" s="18">
        <v>3679</v>
      </c>
      <c r="M68" s="18">
        <v>628</v>
      </c>
    </row>
    <row r="69" spans="1:13" s="69" customFormat="1" ht="17.45" customHeight="1" x14ac:dyDescent="0.2">
      <c r="A69" s="2" t="s">
        <v>79</v>
      </c>
      <c r="B69" s="18" t="s">
        <v>98</v>
      </c>
      <c r="C69" s="18" t="s">
        <v>98</v>
      </c>
      <c r="D69" s="18" t="s">
        <v>98</v>
      </c>
      <c r="E69" s="18" t="s">
        <v>98</v>
      </c>
      <c r="F69" s="18" t="s">
        <v>98</v>
      </c>
      <c r="G69" s="18" t="s">
        <v>98</v>
      </c>
      <c r="H69" s="18" t="s">
        <v>98</v>
      </c>
      <c r="I69" s="18" t="s">
        <v>98</v>
      </c>
      <c r="J69" s="18" t="s">
        <v>98</v>
      </c>
      <c r="K69" s="18" t="s">
        <v>98</v>
      </c>
      <c r="L69" s="18" t="s">
        <v>98</v>
      </c>
      <c r="M69" s="18" t="s">
        <v>98</v>
      </c>
    </row>
    <row r="70" spans="1:13" s="77" customFormat="1" ht="17.45" customHeight="1" x14ac:dyDescent="0.2">
      <c r="A70" s="2" t="s">
        <v>3</v>
      </c>
      <c r="B70" s="18">
        <f t="shared" si="6"/>
        <v>20411</v>
      </c>
      <c r="C70" s="18">
        <v>4322</v>
      </c>
      <c r="D70" s="18">
        <v>4736</v>
      </c>
      <c r="E70" s="18">
        <v>11353</v>
      </c>
      <c r="F70" s="18">
        <f t="shared" si="7"/>
        <v>39173</v>
      </c>
      <c r="G70" s="18">
        <v>8318</v>
      </c>
      <c r="H70" s="18">
        <v>15328</v>
      </c>
      <c r="I70" s="18">
        <v>15527</v>
      </c>
      <c r="J70" s="18">
        <f>SUM(K70:M70)</f>
        <v>30890</v>
      </c>
      <c r="K70" s="18">
        <v>9854</v>
      </c>
      <c r="L70" s="18">
        <v>18320</v>
      </c>
      <c r="M70" s="18">
        <v>2716</v>
      </c>
    </row>
    <row r="71" spans="1:13" s="69" customFormat="1" ht="17.45" customHeight="1" x14ac:dyDescent="0.2">
      <c r="A71" s="2" t="s">
        <v>81</v>
      </c>
      <c r="B71" s="18" t="s">
        <v>98</v>
      </c>
      <c r="C71" s="18" t="s">
        <v>98</v>
      </c>
      <c r="D71" s="18" t="s">
        <v>98</v>
      </c>
      <c r="E71" s="18" t="s">
        <v>98</v>
      </c>
      <c r="F71" s="18" t="s">
        <v>98</v>
      </c>
      <c r="G71" s="18" t="s">
        <v>98</v>
      </c>
      <c r="H71" s="18" t="s">
        <v>98</v>
      </c>
      <c r="I71" s="18" t="s">
        <v>98</v>
      </c>
      <c r="J71" s="18" t="s">
        <v>98</v>
      </c>
      <c r="K71" s="18" t="s">
        <v>98</v>
      </c>
      <c r="L71" s="18" t="s">
        <v>98</v>
      </c>
      <c r="M71" s="18" t="s">
        <v>98</v>
      </c>
    </row>
    <row r="72" spans="1:13" s="77" customFormat="1" ht="17.45" customHeight="1" x14ac:dyDescent="0.2">
      <c r="A72" s="2" t="s">
        <v>22</v>
      </c>
      <c r="B72" s="18" t="s">
        <v>98</v>
      </c>
      <c r="C72" s="18" t="s">
        <v>98</v>
      </c>
      <c r="D72" s="18" t="s">
        <v>98</v>
      </c>
      <c r="E72" s="18" t="s">
        <v>98</v>
      </c>
      <c r="F72" s="18" t="s">
        <v>98</v>
      </c>
      <c r="G72" s="18" t="s">
        <v>98</v>
      </c>
      <c r="H72" s="18" t="s">
        <v>98</v>
      </c>
      <c r="I72" s="18" t="s">
        <v>98</v>
      </c>
      <c r="J72" s="18">
        <f>SUM(K72:M72)</f>
        <v>784</v>
      </c>
      <c r="K72" s="18">
        <v>368</v>
      </c>
      <c r="L72" s="18">
        <v>292</v>
      </c>
      <c r="M72" s="18">
        <v>124</v>
      </c>
    </row>
    <row r="73" spans="1:13" s="69" customFormat="1" ht="17.45" customHeight="1" x14ac:dyDescent="0.2">
      <c r="A73" s="2" t="s">
        <v>7</v>
      </c>
      <c r="B73" s="18">
        <f t="shared" si="6"/>
        <v>1313</v>
      </c>
      <c r="C73" s="18">
        <v>131</v>
      </c>
      <c r="D73" s="18">
        <v>919</v>
      </c>
      <c r="E73" s="18">
        <v>263</v>
      </c>
      <c r="F73" s="18">
        <f t="shared" si="7"/>
        <v>887</v>
      </c>
      <c r="G73" s="18">
        <v>177</v>
      </c>
      <c r="H73" s="18">
        <v>306</v>
      </c>
      <c r="I73" s="18">
        <v>404</v>
      </c>
      <c r="J73" s="18">
        <f>SUM(K73:M73)</f>
        <v>3539</v>
      </c>
      <c r="K73" s="18">
        <v>598</v>
      </c>
      <c r="L73" s="18">
        <v>1272</v>
      </c>
      <c r="M73" s="18">
        <v>1669</v>
      </c>
    </row>
    <row r="74" spans="1:13" s="69" customFormat="1" ht="17.45" customHeight="1" x14ac:dyDescent="0.2">
      <c r="A74" s="2" t="s">
        <v>21</v>
      </c>
      <c r="B74" s="18">
        <f t="shared" si="6"/>
        <v>21752</v>
      </c>
      <c r="C74" s="18">
        <v>1979</v>
      </c>
      <c r="D74" s="18">
        <v>5471</v>
      </c>
      <c r="E74" s="18">
        <v>14302</v>
      </c>
      <c r="F74" s="18">
        <f t="shared" si="7"/>
        <v>13451</v>
      </c>
      <c r="G74" s="18">
        <v>2010</v>
      </c>
      <c r="H74" s="18">
        <v>4661</v>
      </c>
      <c r="I74" s="18">
        <v>6780</v>
      </c>
      <c r="J74" s="18">
        <f>SUM(K74:M74)</f>
        <v>13376</v>
      </c>
      <c r="K74" s="18">
        <v>2549</v>
      </c>
      <c r="L74" s="18">
        <v>4859</v>
      </c>
      <c r="M74" s="18">
        <v>5968</v>
      </c>
    </row>
    <row r="75" spans="1:13" s="69" customFormat="1" ht="17.45" customHeight="1" x14ac:dyDescent="0.2">
      <c r="A75" s="2" t="s">
        <v>17</v>
      </c>
      <c r="B75" s="18">
        <f t="shared" si="6"/>
        <v>4339</v>
      </c>
      <c r="C75" s="18">
        <v>925</v>
      </c>
      <c r="D75" s="18">
        <v>2474</v>
      </c>
      <c r="E75" s="18">
        <v>940</v>
      </c>
      <c r="F75" s="18">
        <f t="shared" si="7"/>
        <v>4416</v>
      </c>
      <c r="G75" s="18">
        <v>810</v>
      </c>
      <c r="H75" s="18">
        <v>2292</v>
      </c>
      <c r="I75" s="18">
        <v>1314</v>
      </c>
      <c r="J75" s="18">
        <f>SUM(K75:M75)</f>
        <v>4525</v>
      </c>
      <c r="K75" s="18">
        <v>1234</v>
      </c>
      <c r="L75" s="18">
        <v>2023</v>
      </c>
      <c r="M75" s="18">
        <v>1268</v>
      </c>
    </row>
    <row r="76" spans="1:13" s="69" customFormat="1" ht="17.45" customHeight="1" x14ac:dyDescent="0.2">
      <c r="A76" s="2" t="s">
        <v>67</v>
      </c>
      <c r="B76" s="18" t="s">
        <v>98</v>
      </c>
      <c r="C76" s="18" t="s">
        <v>98</v>
      </c>
      <c r="D76" s="18" t="s">
        <v>98</v>
      </c>
      <c r="E76" s="18" t="s">
        <v>98</v>
      </c>
      <c r="F76" s="18" t="s">
        <v>98</v>
      </c>
      <c r="G76" s="18" t="s">
        <v>98</v>
      </c>
      <c r="H76" s="18" t="s">
        <v>98</v>
      </c>
      <c r="I76" s="18" t="s">
        <v>98</v>
      </c>
      <c r="J76" s="18">
        <f>SUM(K76:M76)</f>
        <v>1568</v>
      </c>
      <c r="K76" s="18">
        <v>159</v>
      </c>
      <c r="L76" s="18">
        <v>1087</v>
      </c>
      <c r="M76" s="18">
        <v>322</v>
      </c>
    </row>
    <row r="77" spans="1:13" ht="6.75" customHeight="1" x14ac:dyDescent="0.2">
      <c r="A77" s="3"/>
      <c r="B77" s="49"/>
      <c r="C77" s="50"/>
      <c r="D77" s="50"/>
      <c r="E77" s="50"/>
      <c r="F77" s="10"/>
      <c r="G77" s="10"/>
      <c r="H77" s="10"/>
      <c r="I77" s="10"/>
      <c r="J77" s="10"/>
      <c r="K77" s="10"/>
      <c r="L77" s="10"/>
      <c r="M77" s="10"/>
    </row>
    <row r="78" spans="1:13" s="38" customFormat="1" ht="12.6" customHeight="1" x14ac:dyDescent="0.2">
      <c r="A78" s="12"/>
      <c r="B78" s="12"/>
      <c r="C78" s="12"/>
      <c r="D78" s="12"/>
      <c r="E78" s="12"/>
      <c r="F78" s="11"/>
      <c r="G78" s="12"/>
      <c r="H78" s="12"/>
      <c r="I78" s="16"/>
      <c r="J78" s="12"/>
      <c r="K78" s="51"/>
      <c r="L78" s="51"/>
      <c r="M78" s="13" t="s">
        <v>72</v>
      </c>
    </row>
    <row r="79" spans="1:13" ht="60" customHeight="1" x14ac:dyDescent="0.2">
      <c r="A79" s="86" t="s">
        <v>92</v>
      </c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</row>
    <row r="80" spans="1:13" s="38" customFormat="1" ht="12" x14ac:dyDescent="0.2">
      <c r="A80" s="12" t="s">
        <v>53</v>
      </c>
      <c r="B80" s="12"/>
      <c r="C80" s="12"/>
      <c r="D80" s="12"/>
      <c r="E80" s="12"/>
      <c r="F80" s="12"/>
      <c r="G80" s="14"/>
      <c r="H80" s="12"/>
      <c r="I80" s="12"/>
      <c r="J80" s="12"/>
      <c r="K80" s="12"/>
      <c r="L80" s="103" t="s">
        <v>25</v>
      </c>
      <c r="M80" s="103"/>
    </row>
    <row r="81" spans="1:13" ht="21.95" customHeight="1" x14ac:dyDescent="0.2">
      <c r="A81" s="106" t="s">
        <v>0</v>
      </c>
      <c r="B81" s="108" t="s">
        <v>74</v>
      </c>
      <c r="C81" s="109"/>
      <c r="D81" s="109"/>
      <c r="E81" s="110"/>
      <c r="F81" s="105" t="s">
        <v>82</v>
      </c>
      <c r="G81" s="105"/>
      <c r="H81" s="105"/>
      <c r="I81" s="105"/>
      <c r="J81" s="105" t="s">
        <v>94</v>
      </c>
      <c r="K81" s="105"/>
      <c r="L81" s="105"/>
      <c r="M81" s="105"/>
    </row>
    <row r="82" spans="1:13" ht="25.5" customHeight="1" x14ac:dyDescent="0.2">
      <c r="A82" s="107"/>
      <c r="B82" s="47" t="s">
        <v>2</v>
      </c>
      <c r="C82" s="47" t="s">
        <v>46</v>
      </c>
      <c r="D82" s="47" t="s">
        <v>47</v>
      </c>
      <c r="E82" s="47" t="s">
        <v>38</v>
      </c>
      <c r="F82" s="47" t="s">
        <v>2</v>
      </c>
      <c r="G82" s="47" t="s">
        <v>46</v>
      </c>
      <c r="H82" s="47" t="s">
        <v>47</v>
      </c>
      <c r="I82" s="47" t="s">
        <v>38</v>
      </c>
      <c r="J82" s="47" t="s">
        <v>2</v>
      </c>
      <c r="K82" s="47" t="s">
        <v>46</v>
      </c>
      <c r="L82" s="47" t="s">
        <v>47</v>
      </c>
      <c r="M82" s="47" t="s">
        <v>38</v>
      </c>
    </row>
    <row r="83" spans="1:13" ht="25.5" customHeight="1" x14ac:dyDescent="0.2">
      <c r="A83" s="6" t="s">
        <v>63</v>
      </c>
      <c r="B83" s="52">
        <f t="shared" ref="B83:I83" si="9">SUM(B84:B115)</f>
        <v>99199</v>
      </c>
      <c r="C83" s="52">
        <f t="shared" si="9"/>
        <v>12108</v>
      </c>
      <c r="D83" s="52">
        <f t="shared" si="9"/>
        <v>63812</v>
      </c>
      <c r="E83" s="52">
        <f t="shared" si="9"/>
        <v>23279</v>
      </c>
      <c r="F83" s="52">
        <f t="shared" si="9"/>
        <v>174234</v>
      </c>
      <c r="G83" s="52">
        <f t="shared" si="9"/>
        <v>23615</v>
      </c>
      <c r="H83" s="52">
        <f t="shared" si="9"/>
        <v>108633</v>
      </c>
      <c r="I83" s="52">
        <f t="shared" si="9"/>
        <v>50529</v>
      </c>
      <c r="J83" s="52">
        <f>SUM(J84:J115)</f>
        <v>208947</v>
      </c>
      <c r="K83" s="52">
        <f>SUM(K84:K115)</f>
        <v>31457</v>
      </c>
      <c r="L83" s="52">
        <f>SUM(L84:L115)</f>
        <v>130822</v>
      </c>
      <c r="M83" s="52">
        <f>SUM(M84:M115)</f>
        <v>46668</v>
      </c>
    </row>
    <row r="84" spans="1:13" ht="17.45" customHeight="1" x14ac:dyDescent="0.2">
      <c r="A84" s="2" t="s">
        <v>11</v>
      </c>
      <c r="B84" s="18">
        <f>SUM(C84:E84)</f>
        <v>4252</v>
      </c>
      <c r="C84" s="18">
        <v>425</v>
      </c>
      <c r="D84" s="18">
        <v>2976</v>
      </c>
      <c r="E84" s="18">
        <v>851</v>
      </c>
      <c r="F84" s="18">
        <f>SUM(G84:I84)</f>
        <v>6926</v>
      </c>
      <c r="G84" s="18">
        <v>1019</v>
      </c>
      <c r="H84" s="18">
        <v>2143</v>
      </c>
      <c r="I84" s="18">
        <v>3764</v>
      </c>
      <c r="J84" s="18">
        <f t="shared" ref="J84:J96" si="10">SUM(K84:M84)</f>
        <v>10800</v>
      </c>
      <c r="K84" s="18">
        <v>2588</v>
      </c>
      <c r="L84" s="18">
        <v>4392</v>
      </c>
      <c r="M84" s="18">
        <v>3820</v>
      </c>
    </row>
    <row r="85" spans="1:13" ht="17.45" customHeight="1" x14ac:dyDescent="0.2">
      <c r="A85" s="2" t="s">
        <v>75</v>
      </c>
      <c r="B85" s="18">
        <f t="shared" ref="B85:B114" si="11">SUM(C85:E85)</f>
        <v>2650</v>
      </c>
      <c r="C85" s="18">
        <v>845</v>
      </c>
      <c r="D85" s="18">
        <v>833</v>
      </c>
      <c r="E85" s="18">
        <v>972</v>
      </c>
      <c r="F85" s="18">
        <f>G85+H85+I85</f>
        <v>3358</v>
      </c>
      <c r="G85" s="18">
        <v>912</v>
      </c>
      <c r="H85" s="18">
        <v>1112</v>
      </c>
      <c r="I85" s="18">
        <v>1334</v>
      </c>
      <c r="J85" s="18">
        <f t="shared" si="10"/>
        <v>2742</v>
      </c>
      <c r="K85" s="18">
        <v>742</v>
      </c>
      <c r="L85" s="18">
        <v>1023</v>
      </c>
      <c r="M85" s="18">
        <v>977</v>
      </c>
    </row>
    <row r="86" spans="1:13" ht="17.45" customHeight="1" x14ac:dyDescent="0.2">
      <c r="A86" s="2" t="s">
        <v>18</v>
      </c>
      <c r="B86" s="18">
        <f t="shared" si="11"/>
        <v>1370</v>
      </c>
      <c r="C86" s="18">
        <v>604</v>
      </c>
      <c r="D86" s="18">
        <v>431</v>
      </c>
      <c r="E86" s="18">
        <v>335</v>
      </c>
      <c r="F86" s="18">
        <f>G86+H86+I86</f>
        <v>2355</v>
      </c>
      <c r="G86" s="18">
        <v>839</v>
      </c>
      <c r="H86" s="18">
        <v>625</v>
      </c>
      <c r="I86" s="18">
        <v>891</v>
      </c>
      <c r="J86" s="18">
        <f t="shared" si="10"/>
        <v>1879</v>
      </c>
      <c r="K86" s="18">
        <v>523</v>
      </c>
      <c r="L86" s="18">
        <v>401</v>
      </c>
      <c r="M86" s="18">
        <v>955</v>
      </c>
    </row>
    <row r="87" spans="1:13" ht="17.45" customHeight="1" x14ac:dyDescent="0.2">
      <c r="A87" s="2" t="s">
        <v>14</v>
      </c>
      <c r="B87" s="18">
        <f t="shared" si="11"/>
        <v>2347</v>
      </c>
      <c r="C87" s="18">
        <v>1967</v>
      </c>
      <c r="D87" s="18">
        <v>380</v>
      </c>
      <c r="E87" s="18" t="s">
        <v>98</v>
      </c>
      <c r="F87" s="18">
        <f>G87+H87+I87</f>
        <v>273</v>
      </c>
      <c r="G87" s="18">
        <v>89</v>
      </c>
      <c r="H87" s="18">
        <v>61</v>
      </c>
      <c r="I87" s="18">
        <v>123</v>
      </c>
      <c r="J87" s="18">
        <f t="shared" si="10"/>
        <v>5132</v>
      </c>
      <c r="K87" s="18">
        <v>962</v>
      </c>
      <c r="L87" s="18">
        <v>3120</v>
      </c>
      <c r="M87" s="18">
        <v>1050</v>
      </c>
    </row>
    <row r="88" spans="1:13" ht="17.45" customHeight="1" x14ac:dyDescent="0.2">
      <c r="A88" s="2" t="s">
        <v>23</v>
      </c>
      <c r="B88" s="18">
        <f t="shared" si="11"/>
        <v>3613</v>
      </c>
      <c r="C88" s="18">
        <v>361</v>
      </c>
      <c r="D88" s="18">
        <v>2530</v>
      </c>
      <c r="E88" s="18">
        <v>722</v>
      </c>
      <c r="F88" s="18">
        <f>G88+H88+I88</f>
        <v>4928</v>
      </c>
      <c r="G88" s="18">
        <v>950</v>
      </c>
      <c r="H88" s="18">
        <v>2493</v>
      </c>
      <c r="I88" s="18">
        <v>1485</v>
      </c>
      <c r="J88" s="18">
        <f t="shared" si="10"/>
        <v>3285</v>
      </c>
      <c r="K88" s="18">
        <v>1782</v>
      </c>
      <c r="L88" s="18">
        <v>847</v>
      </c>
      <c r="M88" s="18">
        <v>656</v>
      </c>
    </row>
    <row r="89" spans="1:13" ht="17.45" customHeight="1" x14ac:dyDescent="0.2">
      <c r="A89" s="2" t="s">
        <v>5</v>
      </c>
      <c r="B89" s="18">
        <f t="shared" si="11"/>
        <v>2844</v>
      </c>
      <c r="C89" s="18">
        <v>284</v>
      </c>
      <c r="D89" s="18">
        <v>1991</v>
      </c>
      <c r="E89" s="18">
        <v>569</v>
      </c>
      <c r="F89" s="18">
        <f>G89+H89+I89</f>
        <v>23983</v>
      </c>
      <c r="G89" s="18">
        <v>1489</v>
      </c>
      <c r="H89" s="18">
        <v>15851</v>
      </c>
      <c r="I89" s="18">
        <v>6643</v>
      </c>
      <c r="J89" s="18">
        <f t="shared" si="10"/>
        <v>27564</v>
      </c>
      <c r="K89" s="18">
        <v>2154</v>
      </c>
      <c r="L89" s="18">
        <v>16543</v>
      </c>
      <c r="M89" s="18">
        <v>8867</v>
      </c>
    </row>
    <row r="90" spans="1:13" ht="17.45" customHeight="1" x14ac:dyDescent="0.2">
      <c r="A90" s="2" t="s">
        <v>20</v>
      </c>
      <c r="B90" s="18">
        <f t="shared" si="11"/>
        <v>1165</v>
      </c>
      <c r="C90" s="18">
        <v>116</v>
      </c>
      <c r="D90" s="18">
        <v>816</v>
      </c>
      <c r="E90" s="18">
        <v>233</v>
      </c>
      <c r="F90" s="18" t="s">
        <v>98</v>
      </c>
      <c r="G90" s="18" t="s">
        <v>98</v>
      </c>
      <c r="H90" s="18">
        <v>1772</v>
      </c>
      <c r="I90" s="18" t="s">
        <v>98</v>
      </c>
      <c r="J90" s="18">
        <f t="shared" si="10"/>
        <v>1464</v>
      </c>
      <c r="K90" s="18" t="s">
        <v>98</v>
      </c>
      <c r="L90" s="18">
        <v>1464</v>
      </c>
      <c r="M90" s="18" t="s">
        <v>98</v>
      </c>
    </row>
    <row r="91" spans="1:13" ht="17.45" customHeight="1" x14ac:dyDescent="0.2">
      <c r="A91" s="2" t="s">
        <v>16</v>
      </c>
      <c r="B91" s="18">
        <f t="shared" si="11"/>
        <v>1176</v>
      </c>
      <c r="C91" s="18">
        <v>118</v>
      </c>
      <c r="D91" s="18">
        <v>823</v>
      </c>
      <c r="E91" s="18">
        <v>235</v>
      </c>
      <c r="F91" s="18" t="s">
        <v>98</v>
      </c>
      <c r="G91" s="18">
        <v>2</v>
      </c>
      <c r="H91" s="18" t="s">
        <v>98</v>
      </c>
      <c r="I91" s="18">
        <v>27</v>
      </c>
      <c r="J91" s="18">
        <f t="shared" si="10"/>
        <v>50</v>
      </c>
      <c r="K91" s="18">
        <v>35</v>
      </c>
      <c r="L91" s="18" t="s">
        <v>98</v>
      </c>
      <c r="M91" s="18">
        <v>15</v>
      </c>
    </row>
    <row r="92" spans="1:13" ht="17.45" customHeight="1" x14ac:dyDescent="0.2">
      <c r="A92" s="2" t="s">
        <v>68</v>
      </c>
      <c r="B92" s="18">
        <f t="shared" si="11"/>
        <v>775</v>
      </c>
      <c r="C92" s="18">
        <v>78</v>
      </c>
      <c r="D92" s="18">
        <v>542</v>
      </c>
      <c r="E92" s="18">
        <v>155</v>
      </c>
      <c r="F92" s="18">
        <f>G92+H92+I92</f>
        <v>11209</v>
      </c>
      <c r="G92" s="18">
        <v>432</v>
      </c>
      <c r="H92" s="18">
        <v>9244</v>
      </c>
      <c r="I92" s="18">
        <v>1533</v>
      </c>
      <c r="J92" s="18">
        <f t="shared" si="10"/>
        <v>7263</v>
      </c>
      <c r="K92" s="18">
        <v>545</v>
      </c>
      <c r="L92" s="18">
        <v>4907</v>
      </c>
      <c r="M92" s="18">
        <v>1811</v>
      </c>
    </row>
    <row r="93" spans="1:13" ht="17.45" customHeight="1" x14ac:dyDescent="0.2">
      <c r="A93" s="2" t="s">
        <v>69</v>
      </c>
      <c r="B93" s="18">
        <f t="shared" si="11"/>
        <v>3191</v>
      </c>
      <c r="C93" s="18">
        <v>319</v>
      </c>
      <c r="D93" s="18">
        <v>2234</v>
      </c>
      <c r="E93" s="18">
        <v>638</v>
      </c>
      <c r="F93" s="18" t="s">
        <v>98</v>
      </c>
      <c r="G93" s="18" t="s">
        <v>98</v>
      </c>
      <c r="H93" s="18">
        <v>6742</v>
      </c>
      <c r="I93" s="18" t="s">
        <v>98</v>
      </c>
      <c r="J93" s="18">
        <f t="shared" si="10"/>
        <v>17597</v>
      </c>
      <c r="K93" s="18" t="s">
        <v>98</v>
      </c>
      <c r="L93" s="18">
        <v>17597</v>
      </c>
      <c r="M93" s="18" t="s">
        <v>98</v>
      </c>
    </row>
    <row r="94" spans="1:13" ht="17.45" customHeight="1" x14ac:dyDescent="0.2">
      <c r="A94" s="2" t="s">
        <v>9</v>
      </c>
      <c r="B94" s="18">
        <f t="shared" si="11"/>
        <v>60</v>
      </c>
      <c r="C94" s="18">
        <v>5</v>
      </c>
      <c r="D94" s="18">
        <v>55</v>
      </c>
      <c r="E94" s="18" t="s">
        <v>98</v>
      </c>
      <c r="F94" s="18">
        <f>G94+H94+I94</f>
        <v>2868</v>
      </c>
      <c r="G94" s="18">
        <v>490</v>
      </c>
      <c r="H94" s="18">
        <v>1273</v>
      </c>
      <c r="I94" s="18">
        <v>1105</v>
      </c>
      <c r="J94" s="18">
        <f t="shared" si="10"/>
        <v>2117</v>
      </c>
      <c r="K94" s="18">
        <v>135</v>
      </c>
      <c r="L94" s="18">
        <v>1792</v>
      </c>
      <c r="M94" s="18">
        <v>190</v>
      </c>
    </row>
    <row r="95" spans="1:13" ht="17.45" customHeight="1" x14ac:dyDescent="0.2">
      <c r="A95" s="2" t="s">
        <v>12</v>
      </c>
      <c r="B95" s="18">
        <f t="shared" si="11"/>
        <v>1255</v>
      </c>
      <c r="C95" s="18">
        <v>126</v>
      </c>
      <c r="D95" s="18">
        <v>878</v>
      </c>
      <c r="E95" s="18">
        <v>251</v>
      </c>
      <c r="F95" s="18">
        <f>G95+H95+I95</f>
        <v>1809</v>
      </c>
      <c r="G95" s="18">
        <v>57</v>
      </c>
      <c r="H95" s="18">
        <v>1501</v>
      </c>
      <c r="I95" s="18">
        <v>251</v>
      </c>
      <c r="J95" s="18">
        <f t="shared" si="10"/>
        <v>2965</v>
      </c>
      <c r="K95" s="18">
        <v>134</v>
      </c>
      <c r="L95" s="18">
        <v>1596</v>
      </c>
      <c r="M95" s="18">
        <v>1235</v>
      </c>
    </row>
    <row r="96" spans="1:13" ht="17.45" customHeight="1" x14ac:dyDescent="0.2">
      <c r="A96" s="2" t="s">
        <v>10</v>
      </c>
      <c r="B96" s="18">
        <f t="shared" si="11"/>
        <v>855</v>
      </c>
      <c r="C96" s="18">
        <v>120</v>
      </c>
      <c r="D96" s="18">
        <v>201</v>
      </c>
      <c r="E96" s="18">
        <v>534</v>
      </c>
      <c r="F96" s="18">
        <f>G96+H96+I96</f>
        <v>1928</v>
      </c>
      <c r="G96" s="18">
        <v>266</v>
      </c>
      <c r="H96" s="18">
        <v>402</v>
      </c>
      <c r="I96" s="18">
        <v>1260</v>
      </c>
      <c r="J96" s="18">
        <f t="shared" si="10"/>
        <v>3743</v>
      </c>
      <c r="K96" s="18">
        <v>913</v>
      </c>
      <c r="L96" s="18">
        <v>1124</v>
      </c>
      <c r="M96" s="18">
        <v>1706</v>
      </c>
    </row>
    <row r="97" spans="1:13" ht="17.45" customHeight="1" x14ac:dyDescent="0.2">
      <c r="A97" s="2" t="s">
        <v>76</v>
      </c>
      <c r="B97" s="18" t="s">
        <v>98</v>
      </c>
      <c r="C97" s="18" t="s">
        <v>98</v>
      </c>
      <c r="D97" s="18" t="s">
        <v>98</v>
      </c>
      <c r="E97" s="18" t="s">
        <v>98</v>
      </c>
      <c r="F97" s="18" t="s">
        <v>98</v>
      </c>
      <c r="G97" s="18" t="s">
        <v>98</v>
      </c>
      <c r="H97" s="18" t="s">
        <v>98</v>
      </c>
      <c r="I97" s="18" t="s">
        <v>98</v>
      </c>
      <c r="J97" s="18" t="s">
        <v>98</v>
      </c>
      <c r="K97" s="18" t="s">
        <v>98</v>
      </c>
      <c r="L97" s="18" t="s">
        <v>98</v>
      </c>
      <c r="M97" s="18" t="s">
        <v>98</v>
      </c>
    </row>
    <row r="98" spans="1:13" ht="17.45" customHeight="1" x14ac:dyDescent="0.2">
      <c r="A98" s="2" t="s">
        <v>8</v>
      </c>
      <c r="B98" s="18">
        <f t="shared" si="11"/>
        <v>1706</v>
      </c>
      <c r="C98" s="18">
        <v>191</v>
      </c>
      <c r="D98" s="18">
        <v>1505</v>
      </c>
      <c r="E98" s="18">
        <v>10</v>
      </c>
      <c r="F98" s="18">
        <f t="shared" ref="F98:F104" si="12">G98+H98+I98</f>
        <v>3928</v>
      </c>
      <c r="G98" s="18">
        <v>1236</v>
      </c>
      <c r="H98" s="18">
        <v>2550</v>
      </c>
      <c r="I98" s="18">
        <v>142</v>
      </c>
      <c r="J98" s="18">
        <f t="shared" ref="J98:J104" si="13">SUM(K98:M98)</f>
        <v>3578</v>
      </c>
      <c r="K98" s="18">
        <v>1732</v>
      </c>
      <c r="L98" s="18">
        <v>1395</v>
      </c>
      <c r="M98" s="18">
        <v>451</v>
      </c>
    </row>
    <row r="99" spans="1:13" ht="17.45" customHeight="1" x14ac:dyDescent="0.2">
      <c r="A99" s="2" t="s">
        <v>15</v>
      </c>
      <c r="B99" s="18">
        <f t="shared" si="11"/>
        <v>1480</v>
      </c>
      <c r="C99" s="18">
        <v>22</v>
      </c>
      <c r="D99" s="18">
        <v>1458</v>
      </c>
      <c r="E99" s="18" t="s">
        <v>98</v>
      </c>
      <c r="F99" s="18">
        <f t="shared" si="12"/>
        <v>474</v>
      </c>
      <c r="G99" s="18">
        <v>351</v>
      </c>
      <c r="H99" s="18">
        <v>63</v>
      </c>
      <c r="I99" s="18">
        <v>60</v>
      </c>
      <c r="J99" s="18">
        <f t="shared" si="13"/>
        <v>1495</v>
      </c>
      <c r="K99" s="18">
        <v>55</v>
      </c>
      <c r="L99" s="18">
        <v>1440</v>
      </c>
      <c r="M99" s="18" t="s">
        <v>98</v>
      </c>
    </row>
    <row r="100" spans="1:13" ht="17.45" customHeight="1" x14ac:dyDescent="0.2">
      <c r="A100" s="2" t="s">
        <v>77</v>
      </c>
      <c r="B100" s="18">
        <f t="shared" si="11"/>
        <v>358</v>
      </c>
      <c r="C100" s="18">
        <v>98</v>
      </c>
      <c r="D100" s="18">
        <v>112</v>
      </c>
      <c r="E100" s="18">
        <v>148</v>
      </c>
      <c r="F100" s="18">
        <f t="shared" si="12"/>
        <v>342</v>
      </c>
      <c r="G100" s="18">
        <v>69</v>
      </c>
      <c r="H100" s="18">
        <v>124</v>
      </c>
      <c r="I100" s="18">
        <v>149</v>
      </c>
      <c r="J100" s="18">
        <f t="shared" si="13"/>
        <v>329</v>
      </c>
      <c r="K100" s="18">
        <v>82</v>
      </c>
      <c r="L100" s="18">
        <v>105</v>
      </c>
      <c r="M100" s="18">
        <v>142</v>
      </c>
    </row>
    <row r="101" spans="1:13" ht="17.45" customHeight="1" x14ac:dyDescent="0.2">
      <c r="A101" s="2" t="s">
        <v>19</v>
      </c>
      <c r="B101" s="18">
        <f t="shared" si="11"/>
        <v>3580</v>
      </c>
      <c r="C101" s="18">
        <v>210</v>
      </c>
      <c r="D101" s="18">
        <v>1359</v>
      </c>
      <c r="E101" s="18">
        <v>2011</v>
      </c>
      <c r="F101" s="18">
        <f t="shared" si="12"/>
        <v>667</v>
      </c>
      <c r="G101" s="18">
        <v>90</v>
      </c>
      <c r="H101" s="18">
        <v>264</v>
      </c>
      <c r="I101" s="18">
        <v>313</v>
      </c>
      <c r="J101" s="18">
        <f t="shared" si="13"/>
        <v>768</v>
      </c>
      <c r="K101" s="18">
        <v>99</v>
      </c>
      <c r="L101" s="18">
        <v>200</v>
      </c>
      <c r="M101" s="18">
        <v>469</v>
      </c>
    </row>
    <row r="102" spans="1:13" ht="17.45" customHeight="1" x14ac:dyDescent="0.2">
      <c r="A102" s="2" t="s">
        <v>24</v>
      </c>
      <c r="B102" s="18">
        <f t="shared" si="11"/>
        <v>2787</v>
      </c>
      <c r="C102" s="18">
        <v>241</v>
      </c>
      <c r="D102" s="18">
        <v>1930</v>
      </c>
      <c r="E102" s="18">
        <v>616</v>
      </c>
      <c r="F102" s="18">
        <f t="shared" si="12"/>
        <v>6034</v>
      </c>
      <c r="G102" s="18">
        <v>1074</v>
      </c>
      <c r="H102" s="18">
        <v>3271</v>
      </c>
      <c r="I102" s="18">
        <v>1689</v>
      </c>
      <c r="J102" s="18">
        <f t="shared" si="13"/>
        <v>10317</v>
      </c>
      <c r="K102" s="18">
        <v>3433</v>
      </c>
      <c r="L102" s="18">
        <v>4352</v>
      </c>
      <c r="M102" s="18">
        <v>2532</v>
      </c>
    </row>
    <row r="103" spans="1:13" ht="17.45" customHeight="1" x14ac:dyDescent="0.2">
      <c r="A103" s="2" t="s">
        <v>13</v>
      </c>
      <c r="B103" s="18">
        <f t="shared" si="11"/>
        <v>2619</v>
      </c>
      <c r="C103" s="18">
        <v>41</v>
      </c>
      <c r="D103" s="18">
        <v>1848</v>
      </c>
      <c r="E103" s="18">
        <v>730</v>
      </c>
      <c r="F103" s="18">
        <f t="shared" si="12"/>
        <v>6737</v>
      </c>
      <c r="G103" s="18">
        <v>772</v>
      </c>
      <c r="H103" s="18">
        <v>5347</v>
      </c>
      <c r="I103" s="18">
        <v>618</v>
      </c>
      <c r="J103" s="18">
        <f t="shared" si="13"/>
        <v>6544</v>
      </c>
      <c r="K103" s="18">
        <v>546</v>
      </c>
      <c r="L103" s="18">
        <v>5672</v>
      </c>
      <c r="M103" s="18">
        <v>326</v>
      </c>
    </row>
    <row r="104" spans="1:13" ht="17.45" customHeight="1" x14ac:dyDescent="0.2">
      <c r="A104" s="2" t="s">
        <v>6</v>
      </c>
      <c r="B104" s="18">
        <f t="shared" si="11"/>
        <v>3037</v>
      </c>
      <c r="C104" s="18">
        <v>304</v>
      </c>
      <c r="D104" s="18">
        <v>2126</v>
      </c>
      <c r="E104" s="18">
        <v>607</v>
      </c>
      <c r="F104" s="18">
        <f t="shared" si="12"/>
        <v>16913</v>
      </c>
      <c r="G104" s="18">
        <v>2359</v>
      </c>
      <c r="H104" s="18">
        <v>12046</v>
      </c>
      <c r="I104" s="18">
        <v>2508</v>
      </c>
      <c r="J104" s="18">
        <f t="shared" si="13"/>
        <v>22194</v>
      </c>
      <c r="K104" s="18">
        <v>2782</v>
      </c>
      <c r="L104" s="18">
        <v>14982</v>
      </c>
      <c r="M104" s="18">
        <v>4430</v>
      </c>
    </row>
    <row r="105" spans="1:13" ht="17.45" customHeight="1" x14ac:dyDescent="0.2">
      <c r="A105" s="2" t="s">
        <v>78</v>
      </c>
      <c r="B105" s="18" t="s">
        <v>98</v>
      </c>
      <c r="C105" s="18" t="s">
        <v>98</v>
      </c>
      <c r="D105" s="18" t="s">
        <v>98</v>
      </c>
      <c r="E105" s="18" t="s">
        <v>98</v>
      </c>
      <c r="F105" s="18" t="s">
        <v>98</v>
      </c>
      <c r="G105" s="18" t="s">
        <v>98</v>
      </c>
      <c r="H105" s="18" t="s">
        <v>98</v>
      </c>
      <c r="I105" s="18" t="s">
        <v>98</v>
      </c>
      <c r="J105" s="18" t="s">
        <v>98</v>
      </c>
      <c r="K105" s="18" t="s">
        <v>98</v>
      </c>
      <c r="L105" s="18" t="s">
        <v>98</v>
      </c>
      <c r="M105" s="18" t="s">
        <v>98</v>
      </c>
    </row>
    <row r="106" spans="1:13" ht="17.45" customHeight="1" x14ac:dyDescent="0.2">
      <c r="A106" s="2" t="s">
        <v>80</v>
      </c>
      <c r="B106" s="18" t="s">
        <v>98</v>
      </c>
      <c r="C106" s="18" t="s">
        <v>98</v>
      </c>
      <c r="D106" s="18" t="s">
        <v>98</v>
      </c>
      <c r="E106" s="18" t="s">
        <v>98</v>
      </c>
      <c r="F106" s="18" t="s">
        <v>98</v>
      </c>
      <c r="G106" s="18" t="s">
        <v>98</v>
      </c>
      <c r="H106" s="18" t="s">
        <v>98</v>
      </c>
      <c r="I106" s="18" t="s">
        <v>98</v>
      </c>
      <c r="J106" s="18" t="s">
        <v>98</v>
      </c>
      <c r="K106" s="18" t="s">
        <v>98</v>
      </c>
      <c r="L106" s="18" t="s">
        <v>98</v>
      </c>
      <c r="M106" s="18" t="s">
        <v>98</v>
      </c>
    </row>
    <row r="107" spans="1:13" ht="17.45" customHeight="1" x14ac:dyDescent="0.2">
      <c r="A107" s="2" t="s">
        <v>4</v>
      </c>
      <c r="B107" s="18">
        <f t="shared" si="11"/>
        <v>2681</v>
      </c>
      <c r="C107" s="18">
        <v>268</v>
      </c>
      <c r="D107" s="18">
        <v>1877</v>
      </c>
      <c r="E107" s="18">
        <v>536</v>
      </c>
      <c r="F107" s="18">
        <f>G107+H107+I107</f>
        <v>11489</v>
      </c>
      <c r="G107" s="18">
        <v>467</v>
      </c>
      <c r="H107" s="18">
        <v>9592</v>
      </c>
      <c r="I107" s="18">
        <v>1430</v>
      </c>
      <c r="J107" s="18">
        <f>SUM(K107:M107)</f>
        <v>15949</v>
      </c>
      <c r="K107" s="18">
        <v>651</v>
      </c>
      <c r="L107" s="18">
        <v>14286</v>
      </c>
      <c r="M107" s="18">
        <v>1012</v>
      </c>
    </row>
    <row r="108" spans="1:13" ht="17.45" customHeight="1" x14ac:dyDescent="0.2">
      <c r="A108" s="2" t="s">
        <v>79</v>
      </c>
      <c r="B108" s="18" t="s">
        <v>98</v>
      </c>
      <c r="C108" s="18" t="s">
        <v>98</v>
      </c>
      <c r="D108" s="18" t="s">
        <v>98</v>
      </c>
      <c r="E108" s="18" t="s">
        <v>98</v>
      </c>
      <c r="F108" s="18" t="s">
        <v>98</v>
      </c>
      <c r="G108" s="18" t="s">
        <v>98</v>
      </c>
      <c r="H108" s="18" t="s">
        <v>98</v>
      </c>
      <c r="I108" s="18" t="s">
        <v>98</v>
      </c>
      <c r="J108" s="18" t="s">
        <v>98</v>
      </c>
      <c r="K108" s="18" t="s">
        <v>98</v>
      </c>
      <c r="L108" s="18" t="s">
        <v>98</v>
      </c>
      <c r="M108" s="18" t="s">
        <v>98</v>
      </c>
    </row>
    <row r="109" spans="1:13" s="38" customFormat="1" ht="17.45" customHeight="1" x14ac:dyDescent="0.2">
      <c r="A109" s="2" t="s">
        <v>3</v>
      </c>
      <c r="B109" s="18">
        <f t="shared" si="11"/>
        <v>17626</v>
      </c>
      <c r="C109" s="18">
        <v>1904</v>
      </c>
      <c r="D109" s="18">
        <v>6369</v>
      </c>
      <c r="E109" s="18">
        <v>9353</v>
      </c>
      <c r="F109" s="18">
        <f>G109+H109+I109</f>
        <v>41195</v>
      </c>
      <c r="G109" s="18">
        <v>7986</v>
      </c>
      <c r="H109" s="18">
        <v>16162</v>
      </c>
      <c r="I109" s="18">
        <v>17047</v>
      </c>
      <c r="J109" s="18">
        <f>SUM(K109:M109)</f>
        <v>30815</v>
      </c>
      <c r="K109" s="18">
        <v>8915</v>
      </c>
      <c r="L109" s="18">
        <v>17522</v>
      </c>
      <c r="M109" s="18">
        <v>4378</v>
      </c>
    </row>
    <row r="110" spans="1:13" ht="17.45" customHeight="1" x14ac:dyDescent="0.2">
      <c r="A110" s="2" t="s">
        <v>81</v>
      </c>
      <c r="B110" s="18" t="s">
        <v>98</v>
      </c>
      <c r="C110" s="18" t="s">
        <v>98</v>
      </c>
      <c r="D110" s="18" t="s">
        <v>98</v>
      </c>
      <c r="E110" s="18" t="s">
        <v>98</v>
      </c>
      <c r="F110" s="18" t="s">
        <v>98</v>
      </c>
      <c r="G110" s="18" t="s">
        <v>98</v>
      </c>
      <c r="H110" s="18" t="s">
        <v>98</v>
      </c>
      <c r="I110" s="18" t="s">
        <v>98</v>
      </c>
      <c r="J110" s="18" t="s">
        <v>98</v>
      </c>
      <c r="K110" s="18" t="s">
        <v>98</v>
      </c>
      <c r="L110" s="18" t="s">
        <v>98</v>
      </c>
      <c r="M110" s="18" t="s">
        <v>98</v>
      </c>
    </row>
    <row r="111" spans="1:13" s="38" customFormat="1" ht="17.45" customHeight="1" x14ac:dyDescent="0.2">
      <c r="A111" s="2" t="s">
        <v>22</v>
      </c>
      <c r="B111" s="18">
        <f t="shared" si="11"/>
        <v>791</v>
      </c>
      <c r="C111" s="18">
        <v>79</v>
      </c>
      <c r="D111" s="18">
        <v>554</v>
      </c>
      <c r="E111" s="18">
        <v>158</v>
      </c>
      <c r="F111" s="18" t="s">
        <v>98</v>
      </c>
      <c r="G111" s="18" t="s">
        <v>98</v>
      </c>
      <c r="H111" s="18" t="s">
        <v>98</v>
      </c>
      <c r="I111" s="18" t="s">
        <v>98</v>
      </c>
      <c r="J111" s="18">
        <f>SUM(K111:M111)</f>
        <v>1522</v>
      </c>
      <c r="K111" s="18">
        <v>615</v>
      </c>
      <c r="L111" s="18">
        <v>847</v>
      </c>
      <c r="M111" s="18">
        <v>60</v>
      </c>
    </row>
    <row r="112" spans="1:13" ht="17.45" customHeight="1" x14ac:dyDescent="0.2">
      <c r="A112" s="2" t="s">
        <v>7</v>
      </c>
      <c r="B112" s="18">
        <f t="shared" si="11"/>
        <v>1217</v>
      </c>
      <c r="C112" s="18">
        <v>121</v>
      </c>
      <c r="D112" s="18">
        <v>852</v>
      </c>
      <c r="E112" s="18">
        <v>244</v>
      </c>
      <c r="F112" s="18">
        <f>G112+H112+I112</f>
        <v>1236</v>
      </c>
      <c r="G112" s="18">
        <v>89</v>
      </c>
      <c r="H112" s="18">
        <v>848</v>
      </c>
      <c r="I112" s="18">
        <v>299</v>
      </c>
      <c r="J112" s="18">
        <f>SUM(K112:M112)</f>
        <v>4708</v>
      </c>
      <c r="K112" s="18">
        <v>555</v>
      </c>
      <c r="L112" s="18">
        <v>2792</v>
      </c>
      <c r="M112" s="18">
        <v>1361</v>
      </c>
    </row>
    <row r="113" spans="1:13" ht="17.45" customHeight="1" x14ac:dyDescent="0.2">
      <c r="A113" s="2" t="s">
        <v>21</v>
      </c>
      <c r="B113" s="18">
        <f t="shared" si="11"/>
        <v>34282</v>
      </c>
      <c r="C113" s="18">
        <v>2857</v>
      </c>
      <c r="D113" s="18">
        <v>28839</v>
      </c>
      <c r="E113" s="18">
        <v>2586</v>
      </c>
      <c r="F113" s="18">
        <f>G113+H113+I113</f>
        <v>23202</v>
      </c>
      <c r="G113" s="18">
        <v>2267</v>
      </c>
      <c r="H113" s="18">
        <v>14302</v>
      </c>
      <c r="I113" s="18">
        <v>6633</v>
      </c>
      <c r="J113" s="18">
        <f>SUM(K113:M113)</f>
        <v>19746</v>
      </c>
      <c r="K113" s="18">
        <v>867</v>
      </c>
      <c r="L113" s="18">
        <v>10304</v>
      </c>
      <c r="M113" s="18">
        <v>8575</v>
      </c>
    </row>
    <row r="114" spans="1:13" ht="17.45" customHeight="1" x14ac:dyDescent="0.2">
      <c r="A114" s="2" t="s">
        <v>17</v>
      </c>
      <c r="B114" s="18">
        <f t="shared" si="11"/>
        <v>1482</v>
      </c>
      <c r="C114" s="18">
        <v>404</v>
      </c>
      <c r="D114" s="18">
        <v>293</v>
      </c>
      <c r="E114" s="18">
        <v>785</v>
      </c>
      <c r="F114" s="18">
        <f>G114+H114+I114</f>
        <v>2380</v>
      </c>
      <c r="G114" s="18">
        <v>310</v>
      </c>
      <c r="H114" s="18">
        <v>845</v>
      </c>
      <c r="I114" s="18">
        <v>1225</v>
      </c>
      <c r="J114" s="18">
        <f>SUM(K114:M114)</f>
        <v>2609</v>
      </c>
      <c r="K114" s="18">
        <v>374</v>
      </c>
      <c r="L114" s="18">
        <v>906</v>
      </c>
      <c r="M114" s="18">
        <v>1329</v>
      </c>
    </row>
    <row r="115" spans="1:13" ht="17.45" customHeight="1" x14ac:dyDescent="0.2">
      <c r="A115" s="2" t="s">
        <v>67</v>
      </c>
      <c r="B115" s="18" t="s">
        <v>98</v>
      </c>
      <c r="C115" s="18" t="s">
        <v>98</v>
      </c>
      <c r="D115" s="18" t="s">
        <v>98</v>
      </c>
      <c r="E115" s="18" t="s">
        <v>98</v>
      </c>
      <c r="F115" s="18" t="s">
        <v>98</v>
      </c>
      <c r="G115" s="18" t="s">
        <v>98</v>
      </c>
      <c r="H115" s="18" t="s">
        <v>98</v>
      </c>
      <c r="I115" s="18" t="s">
        <v>98</v>
      </c>
      <c r="J115" s="18">
        <f>SUM(K115:M115)</f>
        <v>1772</v>
      </c>
      <c r="K115" s="18">
        <v>238</v>
      </c>
      <c r="L115" s="18">
        <v>1213</v>
      </c>
      <c r="M115" s="18">
        <v>321</v>
      </c>
    </row>
    <row r="116" spans="1:13" ht="8.25" customHeight="1" x14ac:dyDescent="0.2">
      <c r="A116" s="3"/>
      <c r="B116" s="49"/>
      <c r="C116" s="50"/>
      <c r="D116" s="50"/>
      <c r="E116" s="50"/>
      <c r="F116" s="10"/>
      <c r="G116" s="10"/>
      <c r="H116" s="10"/>
      <c r="I116" s="10"/>
      <c r="J116" s="10"/>
      <c r="K116" s="10"/>
      <c r="L116" s="10"/>
      <c r="M116" s="10"/>
    </row>
    <row r="117" spans="1:13" s="38" customFormat="1" ht="12.6" customHeight="1" x14ac:dyDescent="0.2">
      <c r="A117" s="12"/>
      <c r="B117" s="12"/>
      <c r="C117" s="12"/>
      <c r="D117" s="12"/>
      <c r="E117" s="12"/>
      <c r="F117" s="11"/>
      <c r="G117" s="12"/>
      <c r="H117" s="12"/>
      <c r="I117" s="16"/>
      <c r="J117" s="12"/>
      <c r="K117" s="51"/>
      <c r="L117" s="51"/>
      <c r="M117" s="13" t="s">
        <v>72</v>
      </c>
    </row>
    <row r="118" spans="1:13" ht="60" customHeight="1" x14ac:dyDescent="0.2">
      <c r="A118" s="86" t="s">
        <v>93</v>
      </c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</row>
    <row r="119" spans="1:13" s="38" customFormat="1" ht="12" x14ac:dyDescent="0.2">
      <c r="A119" s="12" t="s">
        <v>54</v>
      </c>
      <c r="B119" s="12"/>
      <c r="C119" s="12"/>
      <c r="D119" s="12"/>
      <c r="E119" s="12"/>
      <c r="F119" s="12"/>
      <c r="G119" s="14"/>
      <c r="H119" s="12"/>
      <c r="I119" s="12"/>
      <c r="J119" s="12"/>
      <c r="K119" s="12"/>
      <c r="L119" s="103" t="s">
        <v>25</v>
      </c>
      <c r="M119" s="103"/>
    </row>
    <row r="120" spans="1:13" ht="21.95" customHeight="1" x14ac:dyDescent="0.2">
      <c r="A120" s="87" t="s">
        <v>0</v>
      </c>
      <c r="B120" s="104" t="s">
        <v>74</v>
      </c>
      <c r="C120" s="104"/>
      <c r="D120" s="104"/>
      <c r="E120" s="104"/>
      <c r="F120" s="105" t="s">
        <v>82</v>
      </c>
      <c r="G120" s="105"/>
      <c r="H120" s="105"/>
      <c r="I120" s="105"/>
      <c r="J120" s="105" t="s">
        <v>94</v>
      </c>
      <c r="K120" s="105"/>
      <c r="L120" s="105"/>
      <c r="M120" s="105"/>
    </row>
    <row r="121" spans="1:13" ht="25.5" customHeight="1" x14ac:dyDescent="0.2">
      <c r="A121" s="87"/>
      <c r="B121" s="47" t="s">
        <v>2</v>
      </c>
      <c r="C121" s="47" t="s">
        <v>46</v>
      </c>
      <c r="D121" s="47" t="s">
        <v>47</v>
      </c>
      <c r="E121" s="47" t="s">
        <v>38</v>
      </c>
      <c r="F121" s="47" t="s">
        <v>2</v>
      </c>
      <c r="G121" s="47" t="s">
        <v>46</v>
      </c>
      <c r="H121" s="47" t="s">
        <v>47</v>
      </c>
      <c r="I121" s="47" t="s">
        <v>38</v>
      </c>
      <c r="J121" s="47" t="s">
        <v>2</v>
      </c>
      <c r="K121" s="47" t="s">
        <v>46</v>
      </c>
      <c r="L121" s="47" t="s">
        <v>47</v>
      </c>
      <c r="M121" s="47" t="s">
        <v>38</v>
      </c>
    </row>
    <row r="122" spans="1:13" ht="25.5" customHeight="1" x14ac:dyDescent="0.2">
      <c r="A122" s="6" t="s">
        <v>63</v>
      </c>
      <c r="B122" s="53">
        <f t="shared" ref="B122:I122" si="14">SUM(B123:B154)</f>
        <v>80075</v>
      </c>
      <c r="C122" s="53">
        <f t="shared" si="14"/>
        <v>41402</v>
      </c>
      <c r="D122" s="53">
        <f t="shared" si="14"/>
        <v>27643</v>
      </c>
      <c r="E122" s="53">
        <f t="shared" si="14"/>
        <v>11030</v>
      </c>
      <c r="F122" s="53">
        <f t="shared" si="14"/>
        <v>81630</v>
      </c>
      <c r="G122" s="53">
        <f t="shared" si="14"/>
        <v>52624</v>
      </c>
      <c r="H122" s="53">
        <f t="shared" si="14"/>
        <v>19269</v>
      </c>
      <c r="I122" s="53">
        <f t="shared" si="14"/>
        <v>9737</v>
      </c>
      <c r="J122" s="53">
        <f>SUM(J123:J154)</f>
        <v>99512</v>
      </c>
      <c r="K122" s="53">
        <f>SUM(K123:K154)</f>
        <v>55362</v>
      </c>
      <c r="L122" s="53">
        <f>SUM(L123:L154)</f>
        <v>30176</v>
      </c>
      <c r="M122" s="53">
        <f>SUM(M123:M154)</f>
        <v>13974</v>
      </c>
    </row>
    <row r="123" spans="1:13" s="69" customFormat="1" ht="17.45" customHeight="1" x14ac:dyDescent="0.2">
      <c r="A123" s="2" t="s">
        <v>11</v>
      </c>
      <c r="B123" s="18">
        <f t="shared" ref="B123:B135" si="15">C123+D123+E123</f>
        <v>3023</v>
      </c>
      <c r="C123" s="18">
        <v>302</v>
      </c>
      <c r="D123" s="18">
        <v>2116</v>
      </c>
      <c r="E123" s="18">
        <v>605</v>
      </c>
      <c r="F123" s="18">
        <f t="shared" ref="F123:F129" si="16">G123+H123+I123</f>
        <v>1489</v>
      </c>
      <c r="G123" s="18">
        <v>423</v>
      </c>
      <c r="H123" s="18">
        <v>471</v>
      </c>
      <c r="I123" s="18">
        <v>595</v>
      </c>
      <c r="J123" s="18">
        <f t="shared" ref="J123:J129" si="17">K123+L123+M123</f>
        <v>1810</v>
      </c>
      <c r="K123" s="18">
        <v>735</v>
      </c>
      <c r="L123" s="18">
        <v>287</v>
      </c>
      <c r="M123" s="18">
        <v>788</v>
      </c>
    </row>
    <row r="124" spans="1:13" s="69" customFormat="1" ht="17.45" customHeight="1" x14ac:dyDescent="0.2">
      <c r="A124" s="2" t="s">
        <v>75</v>
      </c>
      <c r="B124" s="18">
        <f t="shared" si="15"/>
        <v>210</v>
      </c>
      <c r="C124" s="18">
        <v>72</v>
      </c>
      <c r="D124" s="18">
        <v>84</v>
      </c>
      <c r="E124" s="18">
        <v>54</v>
      </c>
      <c r="F124" s="18">
        <f t="shared" si="16"/>
        <v>300</v>
      </c>
      <c r="G124" s="18">
        <v>88</v>
      </c>
      <c r="H124" s="18">
        <v>111</v>
      </c>
      <c r="I124" s="18">
        <v>101</v>
      </c>
      <c r="J124" s="18">
        <f t="shared" si="17"/>
        <v>457</v>
      </c>
      <c r="K124" s="18">
        <v>114</v>
      </c>
      <c r="L124" s="18">
        <v>224</v>
      </c>
      <c r="M124" s="18">
        <v>119</v>
      </c>
    </row>
    <row r="125" spans="1:13" s="69" customFormat="1" ht="17.45" customHeight="1" x14ac:dyDescent="0.2">
      <c r="A125" s="2" t="s">
        <v>18</v>
      </c>
      <c r="B125" s="18">
        <f t="shared" si="15"/>
        <v>815</v>
      </c>
      <c r="C125" s="18">
        <v>317</v>
      </c>
      <c r="D125" s="18">
        <v>381</v>
      </c>
      <c r="E125" s="18">
        <v>117</v>
      </c>
      <c r="F125" s="18">
        <f t="shared" si="16"/>
        <v>1659</v>
      </c>
      <c r="G125" s="18">
        <v>538</v>
      </c>
      <c r="H125" s="18">
        <v>574</v>
      </c>
      <c r="I125" s="18">
        <v>547</v>
      </c>
      <c r="J125" s="18">
        <f t="shared" si="17"/>
        <v>1704</v>
      </c>
      <c r="K125" s="18">
        <v>553</v>
      </c>
      <c r="L125" s="18">
        <v>527</v>
      </c>
      <c r="M125" s="18">
        <v>624</v>
      </c>
    </row>
    <row r="126" spans="1:13" s="69" customFormat="1" ht="17.45" customHeight="1" x14ac:dyDescent="0.2">
      <c r="A126" s="2" t="s">
        <v>14</v>
      </c>
      <c r="B126" s="18">
        <v>529</v>
      </c>
      <c r="C126" s="18">
        <v>529</v>
      </c>
      <c r="D126" s="18" t="s">
        <v>98</v>
      </c>
      <c r="E126" s="18" t="s">
        <v>98</v>
      </c>
      <c r="F126" s="18">
        <f t="shared" si="16"/>
        <v>91</v>
      </c>
      <c r="G126" s="18">
        <v>36</v>
      </c>
      <c r="H126" s="18">
        <v>40</v>
      </c>
      <c r="I126" s="18">
        <v>15</v>
      </c>
      <c r="J126" s="18">
        <f t="shared" si="17"/>
        <v>1724</v>
      </c>
      <c r="K126" s="18">
        <v>1040</v>
      </c>
      <c r="L126" s="18">
        <v>534</v>
      </c>
      <c r="M126" s="18">
        <v>150</v>
      </c>
    </row>
    <row r="127" spans="1:13" s="69" customFormat="1" ht="17.45" customHeight="1" x14ac:dyDescent="0.2">
      <c r="A127" s="2" t="s">
        <v>23</v>
      </c>
      <c r="B127" s="18">
        <f t="shared" si="15"/>
        <v>4967</v>
      </c>
      <c r="C127" s="18">
        <v>497</v>
      </c>
      <c r="D127" s="18">
        <v>3476</v>
      </c>
      <c r="E127" s="18">
        <v>994</v>
      </c>
      <c r="F127" s="18">
        <f t="shared" si="16"/>
        <v>1486</v>
      </c>
      <c r="G127" s="18">
        <v>646</v>
      </c>
      <c r="H127" s="18">
        <v>605</v>
      </c>
      <c r="I127" s="18">
        <v>235</v>
      </c>
      <c r="J127" s="18">
        <f t="shared" si="17"/>
        <v>1045</v>
      </c>
      <c r="K127" s="18">
        <v>443</v>
      </c>
      <c r="L127" s="18">
        <v>308</v>
      </c>
      <c r="M127" s="18">
        <v>294</v>
      </c>
    </row>
    <row r="128" spans="1:13" s="69" customFormat="1" ht="17.45" customHeight="1" x14ac:dyDescent="0.2">
      <c r="A128" s="2" t="s">
        <v>5</v>
      </c>
      <c r="B128" s="18">
        <f t="shared" si="15"/>
        <v>2231</v>
      </c>
      <c r="C128" s="18">
        <v>223</v>
      </c>
      <c r="D128" s="18">
        <v>1562</v>
      </c>
      <c r="E128" s="18">
        <v>446</v>
      </c>
      <c r="F128" s="18">
        <f t="shared" si="16"/>
        <v>1441</v>
      </c>
      <c r="G128" s="18">
        <v>413</v>
      </c>
      <c r="H128" s="18">
        <v>872</v>
      </c>
      <c r="I128" s="18">
        <v>156</v>
      </c>
      <c r="J128" s="18">
        <f t="shared" si="17"/>
        <v>1639</v>
      </c>
      <c r="K128" s="18">
        <v>617</v>
      </c>
      <c r="L128" s="18">
        <v>629</v>
      </c>
      <c r="M128" s="18">
        <v>393</v>
      </c>
    </row>
    <row r="129" spans="1:13" s="69" customFormat="1" ht="17.45" customHeight="1" x14ac:dyDescent="0.2">
      <c r="A129" s="2" t="s">
        <v>20</v>
      </c>
      <c r="B129" s="18">
        <f t="shared" si="15"/>
        <v>2012</v>
      </c>
      <c r="C129" s="18">
        <v>202</v>
      </c>
      <c r="D129" s="18">
        <v>1408</v>
      </c>
      <c r="E129" s="18">
        <v>402</v>
      </c>
      <c r="F129" s="18">
        <f t="shared" si="16"/>
        <v>636</v>
      </c>
      <c r="G129" s="18">
        <v>223</v>
      </c>
      <c r="H129" s="18">
        <v>228</v>
      </c>
      <c r="I129" s="18">
        <v>185</v>
      </c>
      <c r="J129" s="18">
        <f t="shared" si="17"/>
        <v>631</v>
      </c>
      <c r="K129" s="18">
        <v>231</v>
      </c>
      <c r="L129" s="18">
        <v>211</v>
      </c>
      <c r="M129" s="18">
        <v>189</v>
      </c>
    </row>
    <row r="130" spans="1:13" s="69" customFormat="1" ht="17.45" customHeight="1" x14ac:dyDescent="0.2">
      <c r="A130" s="2" t="s">
        <v>16</v>
      </c>
      <c r="B130" s="18">
        <f t="shared" si="15"/>
        <v>1056</v>
      </c>
      <c r="C130" s="18">
        <v>106</v>
      </c>
      <c r="D130" s="18">
        <v>739</v>
      </c>
      <c r="E130" s="18">
        <v>211</v>
      </c>
      <c r="F130" s="18">
        <f>SUM(G130:I130)</f>
        <v>2285</v>
      </c>
      <c r="G130" s="18">
        <v>2254</v>
      </c>
      <c r="H130" s="18">
        <v>31</v>
      </c>
      <c r="I130" s="18" t="s">
        <v>98</v>
      </c>
      <c r="J130" s="18">
        <f>SUM(K130:M130)</f>
        <v>2256</v>
      </c>
      <c r="K130" s="18">
        <v>1821</v>
      </c>
      <c r="L130" s="18">
        <v>435</v>
      </c>
      <c r="M130" s="18" t="s">
        <v>98</v>
      </c>
    </row>
    <row r="131" spans="1:13" s="69" customFormat="1" ht="17.45" customHeight="1" x14ac:dyDescent="0.2">
      <c r="A131" s="2" t="s">
        <v>68</v>
      </c>
      <c r="B131" s="18">
        <f t="shared" si="15"/>
        <v>829</v>
      </c>
      <c r="C131" s="18">
        <v>83</v>
      </c>
      <c r="D131" s="18">
        <v>580</v>
      </c>
      <c r="E131" s="18">
        <v>166</v>
      </c>
      <c r="F131" s="18">
        <f>G131+H131+I131</f>
        <v>745</v>
      </c>
      <c r="G131" s="18">
        <v>587</v>
      </c>
      <c r="H131" s="18">
        <v>88</v>
      </c>
      <c r="I131" s="18">
        <v>70</v>
      </c>
      <c r="J131" s="18">
        <f>K131+L131+M131</f>
        <v>1043</v>
      </c>
      <c r="K131" s="18">
        <v>598</v>
      </c>
      <c r="L131" s="18">
        <v>318</v>
      </c>
      <c r="M131" s="18">
        <v>127</v>
      </c>
    </row>
    <row r="132" spans="1:13" s="69" customFormat="1" ht="17.45" customHeight="1" x14ac:dyDescent="0.2">
      <c r="A132" s="2" t="s">
        <v>69</v>
      </c>
      <c r="B132" s="18">
        <f t="shared" si="15"/>
        <v>5983</v>
      </c>
      <c r="C132" s="18">
        <v>599</v>
      </c>
      <c r="D132" s="18">
        <v>4188</v>
      </c>
      <c r="E132" s="18">
        <v>1196</v>
      </c>
      <c r="F132" s="18">
        <f>G132+H132+I132</f>
        <v>533</v>
      </c>
      <c r="G132" s="18">
        <v>381</v>
      </c>
      <c r="H132" s="18">
        <v>134</v>
      </c>
      <c r="I132" s="18">
        <v>18</v>
      </c>
      <c r="J132" s="18">
        <f>K132+L132+M132</f>
        <v>714</v>
      </c>
      <c r="K132" s="18">
        <v>451</v>
      </c>
      <c r="L132" s="18">
        <v>216</v>
      </c>
      <c r="M132" s="18">
        <v>47</v>
      </c>
    </row>
    <row r="133" spans="1:13" s="69" customFormat="1" ht="17.45" customHeight="1" x14ac:dyDescent="0.2">
      <c r="A133" s="2" t="s">
        <v>9</v>
      </c>
      <c r="B133" s="18">
        <f t="shared" si="15"/>
        <v>350</v>
      </c>
      <c r="C133" s="18">
        <v>200</v>
      </c>
      <c r="D133" s="18">
        <v>100</v>
      </c>
      <c r="E133" s="18">
        <v>50</v>
      </c>
      <c r="F133" s="18">
        <f>G133+H133+I133</f>
        <v>3556</v>
      </c>
      <c r="G133" s="18">
        <v>1053</v>
      </c>
      <c r="H133" s="18">
        <v>1891</v>
      </c>
      <c r="I133" s="18">
        <v>612</v>
      </c>
      <c r="J133" s="18">
        <f>K133+L133+M133</f>
        <v>6315</v>
      </c>
      <c r="K133" s="18">
        <v>1235</v>
      </c>
      <c r="L133" s="18">
        <v>3978</v>
      </c>
      <c r="M133" s="18">
        <v>1102</v>
      </c>
    </row>
    <row r="134" spans="1:13" s="69" customFormat="1" ht="17.45" customHeight="1" x14ac:dyDescent="0.2">
      <c r="A134" s="2" t="s">
        <v>12</v>
      </c>
      <c r="B134" s="18">
        <f t="shared" si="15"/>
        <v>843</v>
      </c>
      <c r="C134" s="18">
        <v>84</v>
      </c>
      <c r="D134" s="18">
        <v>590</v>
      </c>
      <c r="E134" s="18">
        <v>169</v>
      </c>
      <c r="F134" s="18">
        <f>G134+H134+I134</f>
        <v>908</v>
      </c>
      <c r="G134" s="18">
        <v>804</v>
      </c>
      <c r="H134" s="18">
        <v>78</v>
      </c>
      <c r="I134" s="18">
        <v>26</v>
      </c>
      <c r="J134" s="18">
        <f>K134+L134+M134</f>
        <v>2085</v>
      </c>
      <c r="K134" s="18">
        <v>205</v>
      </c>
      <c r="L134" s="18">
        <v>1395</v>
      </c>
      <c r="M134" s="18">
        <v>485</v>
      </c>
    </row>
    <row r="135" spans="1:13" s="69" customFormat="1" ht="17.45" customHeight="1" x14ac:dyDescent="0.2">
      <c r="A135" s="2" t="s">
        <v>10</v>
      </c>
      <c r="B135" s="18">
        <f t="shared" si="15"/>
        <v>318</v>
      </c>
      <c r="C135" s="18">
        <v>93</v>
      </c>
      <c r="D135" s="18">
        <v>92</v>
      </c>
      <c r="E135" s="18">
        <v>133</v>
      </c>
      <c r="F135" s="18">
        <f>G135+H135+I135</f>
        <v>403</v>
      </c>
      <c r="G135" s="18">
        <v>123</v>
      </c>
      <c r="H135" s="18">
        <v>156</v>
      </c>
      <c r="I135" s="18">
        <v>124</v>
      </c>
      <c r="J135" s="18">
        <f>K135+L135+M135</f>
        <v>417</v>
      </c>
      <c r="K135" s="18">
        <v>176</v>
      </c>
      <c r="L135" s="18">
        <v>211</v>
      </c>
      <c r="M135" s="18">
        <v>30</v>
      </c>
    </row>
    <row r="136" spans="1:13" s="69" customFormat="1" ht="17.45" customHeight="1" x14ac:dyDescent="0.2">
      <c r="A136" s="2" t="s">
        <v>76</v>
      </c>
      <c r="B136" s="18" t="s">
        <v>98</v>
      </c>
      <c r="C136" s="18" t="s">
        <v>98</v>
      </c>
      <c r="D136" s="18" t="s">
        <v>98</v>
      </c>
      <c r="E136" s="18" t="s">
        <v>98</v>
      </c>
      <c r="F136" s="18" t="s">
        <v>98</v>
      </c>
      <c r="G136" s="18" t="s">
        <v>98</v>
      </c>
      <c r="H136" s="18" t="s">
        <v>98</v>
      </c>
      <c r="I136" s="18" t="s">
        <v>98</v>
      </c>
      <c r="J136" s="18" t="s">
        <v>98</v>
      </c>
      <c r="K136" s="18" t="s">
        <v>98</v>
      </c>
      <c r="L136" s="18" t="s">
        <v>98</v>
      </c>
      <c r="M136" s="18" t="s">
        <v>98</v>
      </c>
    </row>
    <row r="137" spans="1:13" s="69" customFormat="1" ht="17.45" customHeight="1" x14ac:dyDescent="0.2">
      <c r="A137" s="2" t="s">
        <v>70</v>
      </c>
      <c r="B137" s="18">
        <v>1392</v>
      </c>
      <c r="C137" s="18">
        <v>373</v>
      </c>
      <c r="D137" s="18">
        <v>1019</v>
      </c>
      <c r="E137" s="18" t="s">
        <v>98</v>
      </c>
      <c r="F137" s="18">
        <f t="shared" ref="F137:F143" si="18">G137+H137+I137</f>
        <v>4500</v>
      </c>
      <c r="G137" s="18">
        <v>2889</v>
      </c>
      <c r="H137" s="18">
        <v>1486</v>
      </c>
      <c r="I137" s="18">
        <v>125</v>
      </c>
      <c r="J137" s="18">
        <f>SUM(K137:M137)</f>
        <v>4874</v>
      </c>
      <c r="K137" s="18">
        <v>3120</v>
      </c>
      <c r="L137" s="18">
        <v>1754</v>
      </c>
      <c r="M137" s="18" t="s">
        <v>98</v>
      </c>
    </row>
    <row r="138" spans="1:13" s="69" customFormat="1" ht="17.45" customHeight="1" x14ac:dyDescent="0.2">
      <c r="A138" s="2" t="s">
        <v>15</v>
      </c>
      <c r="B138" s="18">
        <v>19</v>
      </c>
      <c r="C138" s="18">
        <v>19</v>
      </c>
      <c r="D138" s="18" t="s">
        <v>98</v>
      </c>
      <c r="E138" s="18" t="s">
        <v>98</v>
      </c>
      <c r="F138" s="18">
        <f t="shared" si="18"/>
        <v>107</v>
      </c>
      <c r="G138" s="18">
        <v>52</v>
      </c>
      <c r="H138" s="18">
        <v>39</v>
      </c>
      <c r="I138" s="18">
        <v>16</v>
      </c>
      <c r="J138" s="18">
        <f t="shared" ref="J138:J143" si="19">SUM(K138:M138)</f>
        <v>922</v>
      </c>
      <c r="K138" s="18">
        <v>147</v>
      </c>
      <c r="L138" s="18">
        <v>541</v>
      </c>
      <c r="M138" s="18">
        <v>234</v>
      </c>
    </row>
    <row r="139" spans="1:13" s="69" customFormat="1" ht="17.45" customHeight="1" x14ac:dyDescent="0.2">
      <c r="A139" s="2" t="s">
        <v>77</v>
      </c>
      <c r="B139" s="18">
        <f t="shared" ref="B139:B143" si="20">C139+D139+E139</f>
        <v>422</v>
      </c>
      <c r="C139" s="18">
        <v>57</v>
      </c>
      <c r="D139" s="18">
        <v>124</v>
      </c>
      <c r="E139" s="18">
        <v>241</v>
      </c>
      <c r="F139" s="18">
        <f t="shared" si="18"/>
        <v>355</v>
      </c>
      <c r="G139" s="18">
        <v>63</v>
      </c>
      <c r="H139" s="18">
        <v>187</v>
      </c>
      <c r="I139" s="18">
        <v>105</v>
      </c>
      <c r="J139" s="18">
        <f t="shared" si="19"/>
        <v>394</v>
      </c>
      <c r="K139" s="18">
        <v>78</v>
      </c>
      <c r="L139" s="18">
        <v>203</v>
      </c>
      <c r="M139" s="18">
        <v>113</v>
      </c>
    </row>
    <row r="140" spans="1:13" s="69" customFormat="1" ht="17.45" customHeight="1" x14ac:dyDescent="0.2">
      <c r="A140" s="2" t="s">
        <v>19</v>
      </c>
      <c r="B140" s="18">
        <f t="shared" si="20"/>
        <v>3584</v>
      </c>
      <c r="C140" s="18">
        <v>622</v>
      </c>
      <c r="D140" s="18">
        <v>1674</v>
      </c>
      <c r="E140" s="18">
        <v>1288</v>
      </c>
      <c r="F140" s="18">
        <f t="shared" si="18"/>
        <v>667</v>
      </c>
      <c r="G140" s="18">
        <v>179</v>
      </c>
      <c r="H140" s="18">
        <v>343</v>
      </c>
      <c r="I140" s="18">
        <v>145</v>
      </c>
      <c r="J140" s="18">
        <f t="shared" si="19"/>
        <v>743</v>
      </c>
      <c r="K140" s="18">
        <v>311</v>
      </c>
      <c r="L140" s="18">
        <v>243</v>
      </c>
      <c r="M140" s="18">
        <v>189</v>
      </c>
    </row>
    <row r="141" spans="1:13" s="69" customFormat="1" ht="17.45" customHeight="1" x14ac:dyDescent="0.2">
      <c r="A141" s="2" t="s">
        <v>24</v>
      </c>
      <c r="B141" s="18">
        <f t="shared" si="20"/>
        <v>544</v>
      </c>
      <c r="C141" s="18">
        <v>142</v>
      </c>
      <c r="D141" s="18">
        <v>249</v>
      </c>
      <c r="E141" s="18">
        <v>153</v>
      </c>
      <c r="F141" s="18">
        <f t="shared" si="18"/>
        <v>2465</v>
      </c>
      <c r="G141" s="18">
        <v>745</v>
      </c>
      <c r="H141" s="18">
        <v>686</v>
      </c>
      <c r="I141" s="18">
        <v>1034</v>
      </c>
      <c r="J141" s="18">
        <f t="shared" si="19"/>
        <v>5532</v>
      </c>
      <c r="K141" s="18">
        <v>2925</v>
      </c>
      <c r="L141" s="18">
        <v>1629</v>
      </c>
      <c r="M141" s="18">
        <v>978</v>
      </c>
    </row>
    <row r="142" spans="1:13" s="69" customFormat="1" ht="17.45" customHeight="1" x14ac:dyDescent="0.2">
      <c r="A142" s="2" t="s">
        <v>13</v>
      </c>
      <c r="B142" s="18">
        <v>198</v>
      </c>
      <c r="C142" s="18">
        <v>130</v>
      </c>
      <c r="D142" s="18">
        <v>68</v>
      </c>
      <c r="E142" s="18" t="s">
        <v>98</v>
      </c>
      <c r="F142" s="18">
        <f t="shared" si="18"/>
        <v>522</v>
      </c>
      <c r="G142" s="18">
        <v>105</v>
      </c>
      <c r="H142" s="18">
        <v>379</v>
      </c>
      <c r="I142" s="18">
        <v>38</v>
      </c>
      <c r="J142" s="18">
        <f t="shared" si="19"/>
        <v>813</v>
      </c>
      <c r="K142" s="18">
        <v>287</v>
      </c>
      <c r="L142" s="18">
        <v>320</v>
      </c>
      <c r="M142" s="18">
        <v>206</v>
      </c>
    </row>
    <row r="143" spans="1:13" s="69" customFormat="1" ht="17.45" customHeight="1" x14ac:dyDescent="0.2">
      <c r="A143" s="2" t="s">
        <v>6</v>
      </c>
      <c r="B143" s="18">
        <f t="shared" si="20"/>
        <v>3385</v>
      </c>
      <c r="C143" s="18">
        <v>338</v>
      </c>
      <c r="D143" s="18">
        <v>2370</v>
      </c>
      <c r="E143" s="18">
        <v>677</v>
      </c>
      <c r="F143" s="18">
        <f t="shared" si="18"/>
        <v>8533</v>
      </c>
      <c r="G143" s="18">
        <v>5000</v>
      </c>
      <c r="H143" s="18">
        <v>1473</v>
      </c>
      <c r="I143" s="18">
        <v>2060</v>
      </c>
      <c r="J143" s="18">
        <f t="shared" si="19"/>
        <v>9705</v>
      </c>
      <c r="K143" s="18">
        <v>5930</v>
      </c>
      <c r="L143" s="18">
        <v>1705</v>
      </c>
      <c r="M143" s="18">
        <v>2070</v>
      </c>
    </row>
    <row r="144" spans="1:13" s="69" customFormat="1" ht="17.45" customHeight="1" x14ac:dyDescent="0.2">
      <c r="A144" s="2" t="s">
        <v>78</v>
      </c>
      <c r="B144" s="18" t="s">
        <v>98</v>
      </c>
      <c r="C144" s="18" t="s">
        <v>98</v>
      </c>
      <c r="D144" s="18" t="s">
        <v>98</v>
      </c>
      <c r="E144" s="18" t="s">
        <v>98</v>
      </c>
      <c r="F144" s="18" t="s">
        <v>98</v>
      </c>
      <c r="G144" s="18" t="s">
        <v>98</v>
      </c>
      <c r="H144" s="18" t="s">
        <v>98</v>
      </c>
      <c r="I144" s="18" t="s">
        <v>98</v>
      </c>
      <c r="J144" s="18" t="s">
        <v>98</v>
      </c>
      <c r="K144" s="18" t="s">
        <v>98</v>
      </c>
      <c r="L144" s="18" t="s">
        <v>98</v>
      </c>
      <c r="M144" s="18" t="s">
        <v>98</v>
      </c>
    </row>
    <row r="145" spans="1:13" s="69" customFormat="1" ht="17.45" customHeight="1" x14ac:dyDescent="0.2">
      <c r="A145" s="2" t="s">
        <v>80</v>
      </c>
      <c r="B145" s="18" t="s">
        <v>98</v>
      </c>
      <c r="C145" s="18" t="s">
        <v>98</v>
      </c>
      <c r="D145" s="18" t="s">
        <v>98</v>
      </c>
      <c r="E145" s="18" t="s">
        <v>98</v>
      </c>
      <c r="F145" s="18" t="s">
        <v>98</v>
      </c>
      <c r="G145" s="18" t="s">
        <v>98</v>
      </c>
      <c r="H145" s="18" t="s">
        <v>98</v>
      </c>
      <c r="I145" s="18" t="s">
        <v>98</v>
      </c>
      <c r="J145" s="18" t="s">
        <v>98</v>
      </c>
      <c r="K145" s="18" t="s">
        <v>98</v>
      </c>
      <c r="L145" s="18" t="s">
        <v>98</v>
      </c>
      <c r="M145" s="18" t="s">
        <v>98</v>
      </c>
    </row>
    <row r="146" spans="1:13" s="69" customFormat="1" ht="17.45" customHeight="1" x14ac:dyDescent="0.2">
      <c r="A146" s="2" t="s">
        <v>4</v>
      </c>
      <c r="B146" s="18">
        <f>C146+D146+E146</f>
        <v>2347</v>
      </c>
      <c r="C146" s="18">
        <v>235</v>
      </c>
      <c r="D146" s="18">
        <v>1643</v>
      </c>
      <c r="E146" s="18">
        <v>469</v>
      </c>
      <c r="F146" s="18">
        <f>G146+H146+I146</f>
        <v>1373</v>
      </c>
      <c r="G146" s="18">
        <v>1102</v>
      </c>
      <c r="H146" s="18">
        <v>119</v>
      </c>
      <c r="I146" s="18">
        <v>152</v>
      </c>
      <c r="J146" s="18">
        <f>K146+L146+M146</f>
        <v>2435</v>
      </c>
      <c r="K146" s="18">
        <v>1747</v>
      </c>
      <c r="L146" s="18">
        <v>368</v>
      </c>
      <c r="M146" s="18">
        <v>320</v>
      </c>
    </row>
    <row r="147" spans="1:13" s="69" customFormat="1" ht="17.45" customHeight="1" x14ac:dyDescent="0.2">
      <c r="A147" s="2" t="s">
        <v>79</v>
      </c>
      <c r="B147" s="18" t="s">
        <v>98</v>
      </c>
      <c r="C147" s="18" t="s">
        <v>98</v>
      </c>
      <c r="D147" s="18" t="s">
        <v>98</v>
      </c>
      <c r="E147" s="18" t="s">
        <v>98</v>
      </c>
      <c r="F147" s="18" t="s">
        <v>98</v>
      </c>
      <c r="G147" s="18" t="s">
        <v>98</v>
      </c>
      <c r="H147" s="18" t="s">
        <v>98</v>
      </c>
      <c r="I147" s="18" t="s">
        <v>98</v>
      </c>
      <c r="J147" s="18" t="s">
        <v>98</v>
      </c>
      <c r="K147" s="18" t="s">
        <v>98</v>
      </c>
      <c r="L147" s="18" t="s">
        <v>98</v>
      </c>
      <c r="M147" s="18" t="s">
        <v>98</v>
      </c>
    </row>
    <row r="148" spans="1:13" s="77" customFormat="1" ht="17.45" customHeight="1" x14ac:dyDescent="0.2">
      <c r="A148" s="2" t="s">
        <v>3</v>
      </c>
      <c r="B148" s="18">
        <f>C148+D148+E148</f>
        <v>37183</v>
      </c>
      <c r="C148" s="18">
        <v>33603</v>
      </c>
      <c r="D148" s="18">
        <v>795</v>
      </c>
      <c r="E148" s="18">
        <v>2785</v>
      </c>
      <c r="F148" s="18">
        <f>G148+H148+I148</f>
        <v>39264</v>
      </c>
      <c r="G148" s="18">
        <v>32310</v>
      </c>
      <c r="H148" s="18">
        <v>4798</v>
      </c>
      <c r="I148" s="18">
        <v>2156</v>
      </c>
      <c r="J148" s="18">
        <f>K148+L148+M148</f>
        <v>41680</v>
      </c>
      <c r="K148" s="18">
        <v>28135</v>
      </c>
      <c r="L148" s="18">
        <v>9743</v>
      </c>
      <c r="M148" s="18">
        <v>3802</v>
      </c>
    </row>
    <row r="149" spans="1:13" s="69" customFormat="1" ht="17.45" customHeight="1" x14ac:dyDescent="0.2">
      <c r="A149" s="2" t="s">
        <v>81</v>
      </c>
      <c r="B149" s="18" t="s">
        <v>98</v>
      </c>
      <c r="C149" s="18" t="s">
        <v>98</v>
      </c>
      <c r="D149" s="18" t="s">
        <v>98</v>
      </c>
      <c r="E149" s="18" t="s">
        <v>98</v>
      </c>
      <c r="F149" s="18" t="s">
        <v>98</v>
      </c>
      <c r="G149" s="18" t="s">
        <v>98</v>
      </c>
      <c r="H149" s="18" t="s">
        <v>98</v>
      </c>
      <c r="I149" s="18" t="s">
        <v>98</v>
      </c>
      <c r="J149" s="18" t="s">
        <v>98</v>
      </c>
      <c r="K149" s="18" t="s">
        <v>98</v>
      </c>
      <c r="L149" s="18" t="s">
        <v>98</v>
      </c>
      <c r="M149" s="18" t="s">
        <v>98</v>
      </c>
    </row>
    <row r="150" spans="1:13" s="77" customFormat="1" ht="17.45" customHeight="1" x14ac:dyDescent="0.2">
      <c r="A150" s="2" t="s">
        <v>22</v>
      </c>
      <c r="B150" s="18" t="s">
        <v>98</v>
      </c>
      <c r="C150" s="18" t="s">
        <v>98</v>
      </c>
      <c r="D150" s="18" t="s">
        <v>98</v>
      </c>
      <c r="E150" s="18" t="s">
        <v>98</v>
      </c>
      <c r="F150" s="18" t="s">
        <v>98</v>
      </c>
      <c r="G150" s="18" t="s">
        <v>98</v>
      </c>
      <c r="H150" s="18" t="s">
        <v>98</v>
      </c>
      <c r="I150" s="18" t="s">
        <v>98</v>
      </c>
      <c r="J150" s="18">
        <f>K150+L150+M150</f>
        <v>584</v>
      </c>
      <c r="K150" s="18">
        <v>210</v>
      </c>
      <c r="L150" s="18">
        <v>348</v>
      </c>
      <c r="M150" s="18">
        <v>26</v>
      </c>
    </row>
    <row r="151" spans="1:13" s="69" customFormat="1" ht="17.45" customHeight="1" x14ac:dyDescent="0.2">
      <c r="A151" s="2" t="s">
        <v>7</v>
      </c>
      <c r="B151" s="18">
        <f>C151+D151+E151</f>
        <v>1627</v>
      </c>
      <c r="C151" s="18">
        <v>163</v>
      </c>
      <c r="D151" s="18">
        <v>1139</v>
      </c>
      <c r="E151" s="18">
        <v>325</v>
      </c>
      <c r="F151" s="18">
        <f>G151+H151+I151</f>
        <v>269</v>
      </c>
      <c r="G151" s="18">
        <v>78</v>
      </c>
      <c r="H151" s="18">
        <v>63</v>
      </c>
      <c r="I151" s="18">
        <v>128</v>
      </c>
      <c r="J151" s="18">
        <f>K151+L151+M151</f>
        <v>1701</v>
      </c>
      <c r="K151" s="18">
        <v>521</v>
      </c>
      <c r="L151" s="18">
        <v>635</v>
      </c>
      <c r="M151" s="18">
        <v>545</v>
      </c>
    </row>
    <row r="152" spans="1:13" s="69" customFormat="1" ht="17.45" customHeight="1" x14ac:dyDescent="0.2">
      <c r="A152" s="2" t="s">
        <v>21</v>
      </c>
      <c r="B152" s="18">
        <f>C152+D152+E152</f>
        <v>3880</v>
      </c>
      <c r="C152" s="18">
        <v>1560</v>
      </c>
      <c r="D152" s="18">
        <v>2229</v>
      </c>
      <c r="E152" s="18">
        <v>91</v>
      </c>
      <c r="F152" s="18">
        <f>G152+H152+I152</f>
        <v>4997</v>
      </c>
      <c r="G152" s="18">
        <v>1586</v>
      </c>
      <c r="H152" s="18">
        <v>3173</v>
      </c>
      <c r="I152" s="18">
        <v>238</v>
      </c>
      <c r="J152" s="18">
        <f>K152+L152+M152</f>
        <v>4570</v>
      </c>
      <c r="K152" s="18">
        <v>2484</v>
      </c>
      <c r="L152" s="18">
        <v>1767</v>
      </c>
      <c r="M152" s="18">
        <v>319</v>
      </c>
    </row>
    <row r="153" spans="1:13" s="69" customFormat="1" ht="17.45" customHeight="1" x14ac:dyDescent="0.2">
      <c r="A153" s="2" t="s">
        <v>17</v>
      </c>
      <c r="B153" s="18">
        <f>C153+D153+E153</f>
        <v>2328</v>
      </c>
      <c r="C153" s="18">
        <v>853</v>
      </c>
      <c r="D153" s="18">
        <v>1017</v>
      </c>
      <c r="E153" s="18">
        <v>458</v>
      </c>
      <c r="F153" s="18">
        <f>G153+H153+I153</f>
        <v>3046</v>
      </c>
      <c r="G153" s="18">
        <v>946</v>
      </c>
      <c r="H153" s="18">
        <v>1244</v>
      </c>
      <c r="I153" s="18">
        <v>856</v>
      </c>
      <c r="J153" s="18">
        <f>K153+L153+M153</f>
        <v>3131</v>
      </c>
      <c r="K153" s="18">
        <v>1090</v>
      </c>
      <c r="L153" s="18">
        <v>1397</v>
      </c>
      <c r="M153" s="18">
        <v>644</v>
      </c>
    </row>
    <row r="154" spans="1:13" s="69" customFormat="1" ht="17.45" customHeight="1" x14ac:dyDescent="0.2">
      <c r="A154" s="2" t="s">
        <v>67</v>
      </c>
      <c r="B154" s="18" t="s">
        <v>98</v>
      </c>
      <c r="C154" s="18" t="s">
        <v>98</v>
      </c>
      <c r="D154" s="18" t="s">
        <v>98</v>
      </c>
      <c r="E154" s="18" t="s">
        <v>98</v>
      </c>
      <c r="F154" s="18" t="s">
        <v>98</v>
      </c>
      <c r="G154" s="18" t="s">
        <v>98</v>
      </c>
      <c r="H154" s="18" t="s">
        <v>98</v>
      </c>
      <c r="I154" s="18" t="s">
        <v>98</v>
      </c>
      <c r="J154" s="18">
        <f>K154+L154+M154</f>
        <v>588</v>
      </c>
      <c r="K154" s="18">
        <v>158</v>
      </c>
      <c r="L154" s="18">
        <v>250</v>
      </c>
      <c r="M154" s="18">
        <v>180</v>
      </c>
    </row>
    <row r="155" spans="1:13" s="38" customFormat="1" ht="6" customHeight="1" x14ac:dyDescent="0.2">
      <c r="A155" s="8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</row>
    <row r="156" spans="1:13" s="38" customFormat="1" ht="12" x14ac:dyDescent="0.2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3" t="s">
        <v>72</v>
      </c>
    </row>
    <row r="157" spans="1:13" x14ac:dyDescent="0.2">
      <c r="A157" s="9"/>
      <c r="B157" s="9"/>
      <c r="C157" s="9"/>
      <c r="D157" s="9"/>
      <c r="E157" s="9"/>
      <c r="F157" s="11"/>
      <c r="G157" s="12"/>
      <c r="H157" s="9"/>
      <c r="I157" s="9"/>
      <c r="J157" s="9"/>
      <c r="K157" s="9"/>
      <c r="L157" s="9"/>
      <c r="M157" s="9"/>
    </row>
  </sheetData>
  <sortState ref="A123:M154">
    <sortCondition ref="A123:A154"/>
  </sortState>
  <mergeCells count="24">
    <mergeCell ref="J120:M120"/>
    <mergeCell ref="L119:M119"/>
    <mergeCell ref="A120:A121"/>
    <mergeCell ref="J42:M42"/>
    <mergeCell ref="A118:M118"/>
    <mergeCell ref="J81:M81"/>
    <mergeCell ref="L80:M80"/>
    <mergeCell ref="A79:M79"/>
    <mergeCell ref="A42:A43"/>
    <mergeCell ref="A81:A82"/>
    <mergeCell ref="B81:E81"/>
    <mergeCell ref="F81:I81"/>
    <mergeCell ref="B42:E42"/>
    <mergeCell ref="F42:I42"/>
    <mergeCell ref="B120:E120"/>
    <mergeCell ref="F120:I120"/>
    <mergeCell ref="L41:M41"/>
    <mergeCell ref="A1:M1"/>
    <mergeCell ref="A40:M40"/>
    <mergeCell ref="A3:A4"/>
    <mergeCell ref="B3:E3"/>
    <mergeCell ref="F3:I3"/>
    <mergeCell ref="J3:M3"/>
    <mergeCell ref="L2:M2"/>
  </mergeCells>
  <phoneticPr fontId="0" type="noConversion"/>
  <printOptions horizontalCentered="1"/>
  <pageMargins left="0.66929133858267698" right="0.47244094488188998" top="0.98425196850393704" bottom="0.98425196850393704" header="0.511811023622047" footer="0.511811023622047"/>
  <pageSetup paperSize="9" firstPageNumber="7" orientation="portrait" r:id="rId1"/>
  <headerFooter alignWithMargins="0">
    <oddHeader>&amp;C&amp;P</oddHeader>
  </headerFooter>
  <rowBreaks count="3" manualBreakCount="3">
    <brk id="39" max="16383" man="1"/>
    <brk id="78" max="16383" man="1"/>
    <brk id="11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J79"/>
  <sheetViews>
    <sheetView view="pageBreakPreview" zoomScaleSheetLayoutView="100" workbookViewId="0">
      <selection activeCell="E2" sqref="E2"/>
    </sheetView>
  </sheetViews>
  <sheetFormatPr defaultRowHeight="12.75" x14ac:dyDescent="0.2"/>
  <cols>
    <col min="1" max="1" width="14.28515625" style="9" customWidth="1"/>
    <col min="2" max="10" width="8" style="9" customWidth="1"/>
    <col min="11" max="16384" width="9.140625" style="9"/>
  </cols>
  <sheetData>
    <row r="1" spans="1:10" ht="60" customHeight="1" x14ac:dyDescent="0.2">
      <c r="A1" s="86" t="s">
        <v>103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s="12" customFormat="1" ht="12" x14ac:dyDescent="0.2">
      <c r="A2" s="12" t="s">
        <v>42</v>
      </c>
      <c r="I2" s="114" t="s">
        <v>31</v>
      </c>
      <c r="J2" s="114"/>
    </row>
    <row r="3" spans="1:10" ht="20.100000000000001" customHeight="1" x14ac:dyDescent="0.2">
      <c r="A3" s="85" t="s">
        <v>0</v>
      </c>
      <c r="B3" s="87" t="s">
        <v>74</v>
      </c>
      <c r="C3" s="87"/>
      <c r="D3" s="87"/>
      <c r="E3" s="87" t="s">
        <v>82</v>
      </c>
      <c r="F3" s="87"/>
      <c r="G3" s="87"/>
      <c r="H3" s="87" t="s">
        <v>94</v>
      </c>
      <c r="I3" s="87"/>
      <c r="J3" s="87"/>
    </row>
    <row r="4" spans="1:10" ht="66" customHeight="1" x14ac:dyDescent="0.2">
      <c r="A4" s="85"/>
      <c r="B4" s="25" t="s">
        <v>2</v>
      </c>
      <c r="C4" s="25" t="s">
        <v>59</v>
      </c>
      <c r="D4" s="25" t="s">
        <v>60</v>
      </c>
      <c r="E4" s="25" t="s">
        <v>2</v>
      </c>
      <c r="F4" s="25" t="s">
        <v>59</v>
      </c>
      <c r="G4" s="25" t="s">
        <v>60</v>
      </c>
      <c r="H4" s="25" t="s">
        <v>2</v>
      </c>
      <c r="I4" s="25" t="s">
        <v>59</v>
      </c>
      <c r="J4" s="25" t="s">
        <v>60</v>
      </c>
    </row>
    <row r="5" spans="1:10" ht="25.5" customHeight="1" x14ac:dyDescent="0.2">
      <c r="A5" s="6" t="s">
        <v>63</v>
      </c>
      <c r="B5" s="17">
        <f t="shared" ref="B5:G5" si="0">SUM(B6:B37)</f>
        <v>358283</v>
      </c>
      <c r="C5" s="17">
        <f t="shared" si="0"/>
        <v>331744</v>
      </c>
      <c r="D5" s="17">
        <f t="shared" si="0"/>
        <v>26539</v>
      </c>
      <c r="E5" s="17">
        <f t="shared" si="0"/>
        <v>444601</v>
      </c>
      <c r="F5" s="17">
        <f t="shared" si="0"/>
        <v>414688</v>
      </c>
      <c r="G5" s="17">
        <f t="shared" si="0"/>
        <v>29913</v>
      </c>
      <c r="H5" s="17">
        <f>SUM(H6:H37)</f>
        <v>360653</v>
      </c>
      <c r="I5" s="17">
        <f>SUM(I6:I37)</f>
        <v>337332</v>
      </c>
      <c r="J5" s="17">
        <f>SUM(J6:J37)</f>
        <v>23321</v>
      </c>
    </row>
    <row r="6" spans="1:10" s="45" customFormat="1" ht="15.95" customHeight="1" x14ac:dyDescent="0.2">
      <c r="A6" s="2" t="s">
        <v>11</v>
      </c>
      <c r="B6" s="18">
        <f>SUM(C6:D6)</f>
        <v>7423</v>
      </c>
      <c r="C6" s="18">
        <v>4905</v>
      </c>
      <c r="D6" s="18">
        <v>2518</v>
      </c>
      <c r="E6" s="18">
        <f>SUM(F6:G6)</f>
        <v>7826</v>
      </c>
      <c r="F6" s="18">
        <v>5569</v>
      </c>
      <c r="G6" s="18">
        <v>2257</v>
      </c>
      <c r="H6" s="18">
        <f t="shared" ref="H6:H20" si="1">SUM(I6:J6)</f>
        <v>7947</v>
      </c>
      <c r="I6" s="18">
        <v>5654</v>
      </c>
      <c r="J6" s="18">
        <v>2293</v>
      </c>
    </row>
    <row r="7" spans="1:10" s="45" customFormat="1" ht="15.95" customHeight="1" x14ac:dyDescent="0.2">
      <c r="A7" s="2" t="s">
        <v>75</v>
      </c>
      <c r="B7" s="18">
        <f t="shared" ref="B7:B37" si="2">SUM(C7:D7)</f>
        <v>25954</v>
      </c>
      <c r="C7" s="18">
        <v>25954</v>
      </c>
      <c r="D7" s="18" t="s">
        <v>98</v>
      </c>
      <c r="E7" s="18">
        <f t="shared" ref="E7:E37" si="3">SUM(F7:G7)</f>
        <v>27440</v>
      </c>
      <c r="F7" s="34">
        <v>27440</v>
      </c>
      <c r="G7" s="34" t="s">
        <v>98</v>
      </c>
      <c r="H7" s="18">
        <f t="shared" si="1"/>
        <v>12547</v>
      </c>
      <c r="I7" s="18">
        <v>12547</v>
      </c>
      <c r="J7" s="18" t="s">
        <v>98</v>
      </c>
    </row>
    <row r="8" spans="1:10" s="45" customFormat="1" ht="15.95" customHeight="1" x14ac:dyDescent="0.2">
      <c r="A8" s="2" t="s">
        <v>18</v>
      </c>
      <c r="B8" s="18">
        <f t="shared" si="2"/>
        <v>23015</v>
      </c>
      <c r="C8" s="18">
        <v>21141</v>
      </c>
      <c r="D8" s="18">
        <v>1874</v>
      </c>
      <c r="E8" s="18">
        <f t="shared" si="3"/>
        <v>26089</v>
      </c>
      <c r="F8" s="18">
        <v>24381</v>
      </c>
      <c r="G8" s="18">
        <v>1708</v>
      </c>
      <c r="H8" s="18">
        <f t="shared" si="1"/>
        <v>28635</v>
      </c>
      <c r="I8" s="18">
        <v>27559</v>
      </c>
      <c r="J8" s="18">
        <v>1076</v>
      </c>
    </row>
    <row r="9" spans="1:10" s="45" customFormat="1" ht="15.95" customHeight="1" x14ac:dyDescent="0.2">
      <c r="A9" s="2" t="s">
        <v>14</v>
      </c>
      <c r="B9" s="18">
        <f t="shared" si="2"/>
        <v>954</v>
      </c>
      <c r="C9" s="18">
        <v>612</v>
      </c>
      <c r="D9" s="18">
        <v>342</v>
      </c>
      <c r="E9" s="18">
        <f t="shared" si="3"/>
        <v>974</v>
      </c>
      <c r="F9" s="18">
        <v>560</v>
      </c>
      <c r="G9" s="18">
        <v>414</v>
      </c>
      <c r="H9" s="18">
        <f t="shared" si="1"/>
        <v>892</v>
      </c>
      <c r="I9" s="18">
        <v>522</v>
      </c>
      <c r="J9" s="18">
        <v>370</v>
      </c>
    </row>
    <row r="10" spans="1:10" s="45" customFormat="1" ht="15.95" customHeight="1" x14ac:dyDescent="0.2">
      <c r="A10" s="2" t="s">
        <v>23</v>
      </c>
      <c r="B10" s="18">
        <f t="shared" si="2"/>
        <v>8891</v>
      </c>
      <c r="C10" s="18">
        <v>6648</v>
      </c>
      <c r="D10" s="18">
        <v>2243</v>
      </c>
      <c r="E10" s="18">
        <f t="shared" si="3"/>
        <v>9933</v>
      </c>
      <c r="F10" s="18">
        <v>7544</v>
      </c>
      <c r="G10" s="18">
        <v>2389</v>
      </c>
      <c r="H10" s="18">
        <f t="shared" si="1"/>
        <v>7378</v>
      </c>
      <c r="I10" s="18">
        <v>5663</v>
      </c>
      <c r="J10" s="18">
        <v>1715</v>
      </c>
    </row>
    <row r="11" spans="1:10" s="45" customFormat="1" ht="15.95" customHeight="1" x14ac:dyDescent="0.2">
      <c r="A11" s="2" t="s">
        <v>5</v>
      </c>
      <c r="B11" s="18">
        <f t="shared" si="2"/>
        <v>18516</v>
      </c>
      <c r="C11" s="18">
        <v>17443</v>
      </c>
      <c r="D11" s="18">
        <v>1073</v>
      </c>
      <c r="E11" s="18">
        <f t="shared" si="3"/>
        <v>22271</v>
      </c>
      <c r="F11" s="18">
        <v>20666</v>
      </c>
      <c r="G11" s="18">
        <v>1605</v>
      </c>
      <c r="H11" s="18">
        <f t="shared" si="1"/>
        <v>18649</v>
      </c>
      <c r="I11" s="18">
        <v>17640</v>
      </c>
      <c r="J11" s="18">
        <v>1009</v>
      </c>
    </row>
    <row r="12" spans="1:10" s="45" customFormat="1" ht="15.95" customHeight="1" x14ac:dyDescent="0.2">
      <c r="A12" s="2" t="s">
        <v>20</v>
      </c>
      <c r="B12" s="18">
        <f t="shared" si="2"/>
        <v>392</v>
      </c>
      <c r="C12" s="18">
        <v>392</v>
      </c>
      <c r="D12" s="18" t="s">
        <v>98</v>
      </c>
      <c r="E12" s="18">
        <f t="shared" si="3"/>
        <v>703</v>
      </c>
      <c r="F12" s="18">
        <v>703</v>
      </c>
      <c r="G12" s="18" t="s">
        <v>98</v>
      </c>
      <c r="H12" s="18">
        <f t="shared" si="1"/>
        <v>875</v>
      </c>
      <c r="I12" s="18">
        <v>875</v>
      </c>
      <c r="J12" s="18" t="s">
        <v>98</v>
      </c>
    </row>
    <row r="13" spans="1:10" s="45" customFormat="1" ht="15.95" customHeight="1" x14ac:dyDescent="0.2">
      <c r="A13" s="2" t="s">
        <v>16</v>
      </c>
      <c r="B13" s="18">
        <f t="shared" si="2"/>
        <v>15300</v>
      </c>
      <c r="C13" s="18">
        <v>14015</v>
      </c>
      <c r="D13" s="18">
        <v>1285</v>
      </c>
      <c r="E13" s="18">
        <f t="shared" si="3"/>
        <v>17914</v>
      </c>
      <c r="F13" s="18">
        <v>16527</v>
      </c>
      <c r="G13" s="18">
        <v>1387</v>
      </c>
      <c r="H13" s="18">
        <f t="shared" si="1"/>
        <v>15989</v>
      </c>
      <c r="I13" s="18">
        <v>14657</v>
      </c>
      <c r="J13" s="18">
        <v>1332</v>
      </c>
    </row>
    <row r="14" spans="1:10" s="45" customFormat="1" ht="15.95" customHeight="1" x14ac:dyDescent="0.2">
      <c r="A14" s="2" t="s">
        <v>68</v>
      </c>
      <c r="B14" s="18">
        <f t="shared" si="2"/>
        <v>13356</v>
      </c>
      <c r="C14" s="18">
        <v>13295</v>
      </c>
      <c r="D14" s="18">
        <v>61</v>
      </c>
      <c r="E14" s="18">
        <f t="shared" si="3"/>
        <v>16029</v>
      </c>
      <c r="F14" s="18">
        <v>15992</v>
      </c>
      <c r="G14" s="18">
        <v>37</v>
      </c>
      <c r="H14" s="18">
        <f t="shared" si="1"/>
        <v>14081</v>
      </c>
      <c r="I14" s="18">
        <v>14035</v>
      </c>
      <c r="J14" s="18">
        <v>46</v>
      </c>
    </row>
    <row r="15" spans="1:10" s="45" customFormat="1" ht="15.95" customHeight="1" x14ac:dyDescent="0.2">
      <c r="A15" s="2" t="s">
        <v>69</v>
      </c>
      <c r="B15" s="18">
        <f t="shared" si="2"/>
        <v>8415</v>
      </c>
      <c r="C15" s="18">
        <v>8415</v>
      </c>
      <c r="D15" s="18" t="s">
        <v>98</v>
      </c>
      <c r="E15" s="18">
        <f t="shared" si="3"/>
        <v>12347</v>
      </c>
      <c r="F15" s="18">
        <v>12149</v>
      </c>
      <c r="G15" s="18">
        <v>198</v>
      </c>
      <c r="H15" s="18">
        <f t="shared" si="1"/>
        <v>11205</v>
      </c>
      <c r="I15" s="18">
        <v>11104</v>
      </c>
      <c r="J15" s="18">
        <v>101</v>
      </c>
    </row>
    <row r="16" spans="1:10" s="45" customFormat="1" ht="15.95" customHeight="1" x14ac:dyDescent="0.2">
      <c r="A16" s="2" t="s">
        <v>9</v>
      </c>
      <c r="B16" s="18">
        <f t="shared" si="2"/>
        <v>3464</v>
      </c>
      <c r="C16" s="18">
        <v>3343</v>
      </c>
      <c r="D16" s="18">
        <v>121</v>
      </c>
      <c r="E16" s="18">
        <f t="shared" si="3"/>
        <v>4354</v>
      </c>
      <c r="F16" s="18">
        <v>4129</v>
      </c>
      <c r="G16" s="18">
        <v>225</v>
      </c>
      <c r="H16" s="18">
        <f t="shared" si="1"/>
        <v>7031</v>
      </c>
      <c r="I16" s="18">
        <v>6811</v>
      </c>
      <c r="J16" s="18">
        <v>220</v>
      </c>
    </row>
    <row r="17" spans="1:10" s="45" customFormat="1" ht="15.95" customHeight="1" x14ac:dyDescent="0.2">
      <c r="A17" s="2" t="s">
        <v>12</v>
      </c>
      <c r="B17" s="18">
        <f t="shared" si="2"/>
        <v>12894</v>
      </c>
      <c r="C17" s="18">
        <v>11011</v>
      </c>
      <c r="D17" s="18">
        <v>1883</v>
      </c>
      <c r="E17" s="18">
        <f t="shared" si="3"/>
        <v>15478</v>
      </c>
      <c r="F17" s="18">
        <v>13236</v>
      </c>
      <c r="G17" s="18">
        <v>2242</v>
      </c>
      <c r="H17" s="18">
        <f t="shared" si="1"/>
        <v>13200</v>
      </c>
      <c r="I17" s="18">
        <v>11754</v>
      </c>
      <c r="J17" s="18">
        <v>1446</v>
      </c>
    </row>
    <row r="18" spans="1:10" s="45" customFormat="1" ht="15.95" customHeight="1" x14ac:dyDescent="0.2">
      <c r="A18" s="2" t="s">
        <v>10</v>
      </c>
      <c r="B18" s="18">
        <f t="shared" si="2"/>
        <v>10593</v>
      </c>
      <c r="C18" s="18">
        <v>10593</v>
      </c>
      <c r="D18" s="18" t="s">
        <v>98</v>
      </c>
      <c r="E18" s="18">
        <f t="shared" si="3"/>
        <v>27741</v>
      </c>
      <c r="F18" s="18">
        <v>27741</v>
      </c>
      <c r="G18" s="18" t="s">
        <v>98</v>
      </c>
      <c r="H18" s="18">
        <f t="shared" si="1"/>
        <v>10847</v>
      </c>
      <c r="I18" s="18">
        <v>10847</v>
      </c>
      <c r="J18" s="18" t="s">
        <v>98</v>
      </c>
    </row>
    <row r="19" spans="1:10" s="45" customFormat="1" ht="15.95" customHeight="1" x14ac:dyDescent="0.2">
      <c r="A19" s="2" t="s">
        <v>76</v>
      </c>
      <c r="B19" s="18">
        <f t="shared" si="2"/>
        <v>6143</v>
      </c>
      <c r="C19" s="18">
        <v>6143</v>
      </c>
      <c r="D19" s="18" t="s">
        <v>98</v>
      </c>
      <c r="E19" s="18">
        <f t="shared" si="3"/>
        <v>10478</v>
      </c>
      <c r="F19" s="18">
        <v>10478</v>
      </c>
      <c r="G19" s="18" t="s">
        <v>98</v>
      </c>
      <c r="H19" s="18">
        <f t="shared" si="1"/>
        <v>7754</v>
      </c>
      <c r="I19" s="18">
        <v>7754</v>
      </c>
      <c r="J19" s="18" t="s">
        <v>98</v>
      </c>
    </row>
    <row r="20" spans="1:10" s="45" customFormat="1" ht="15.95" customHeight="1" x14ac:dyDescent="0.2">
      <c r="A20" s="2" t="s">
        <v>8</v>
      </c>
      <c r="B20" s="18">
        <f t="shared" si="2"/>
        <v>8393</v>
      </c>
      <c r="C20" s="18">
        <v>8257</v>
      </c>
      <c r="D20" s="18">
        <v>136</v>
      </c>
      <c r="E20" s="18">
        <f t="shared" si="3"/>
        <v>13326</v>
      </c>
      <c r="F20" s="18">
        <v>13137</v>
      </c>
      <c r="G20" s="18">
        <v>189</v>
      </c>
      <c r="H20" s="18">
        <f t="shared" si="1"/>
        <v>13918</v>
      </c>
      <c r="I20" s="18">
        <v>13817</v>
      </c>
      <c r="J20" s="18">
        <v>101</v>
      </c>
    </row>
    <row r="21" spans="1:10" s="45" customFormat="1" ht="15.95" customHeight="1" x14ac:dyDescent="0.2">
      <c r="A21" s="2" t="s">
        <v>15</v>
      </c>
      <c r="B21" s="18" t="s">
        <v>98</v>
      </c>
      <c r="C21" s="18" t="s">
        <v>98</v>
      </c>
      <c r="D21" s="18" t="s">
        <v>98</v>
      </c>
      <c r="E21" s="18" t="s">
        <v>98</v>
      </c>
      <c r="F21" s="18" t="s">
        <v>98</v>
      </c>
      <c r="G21" s="18" t="s">
        <v>98</v>
      </c>
      <c r="H21" s="18" t="s">
        <v>98</v>
      </c>
      <c r="I21" s="18" t="s">
        <v>98</v>
      </c>
      <c r="J21" s="18" t="s">
        <v>98</v>
      </c>
    </row>
    <row r="22" spans="1:10" s="45" customFormat="1" ht="15.95" customHeight="1" x14ac:dyDescent="0.2">
      <c r="A22" s="2" t="s">
        <v>77</v>
      </c>
      <c r="B22" s="18">
        <f t="shared" si="2"/>
        <v>10216</v>
      </c>
      <c r="C22" s="18">
        <v>10216</v>
      </c>
      <c r="D22" s="18" t="s">
        <v>98</v>
      </c>
      <c r="E22" s="18">
        <f t="shared" si="3"/>
        <v>8471</v>
      </c>
      <c r="F22" s="34">
        <v>8471</v>
      </c>
      <c r="G22" s="34" t="s">
        <v>98</v>
      </c>
      <c r="H22" s="18">
        <f t="shared" ref="H22:H37" si="4">SUM(I22:J22)</f>
        <v>3327</v>
      </c>
      <c r="I22" s="18">
        <v>3327</v>
      </c>
      <c r="J22" s="18" t="s">
        <v>98</v>
      </c>
    </row>
    <row r="23" spans="1:10" s="45" customFormat="1" ht="15.95" customHeight="1" x14ac:dyDescent="0.2">
      <c r="A23" s="2" t="s">
        <v>19</v>
      </c>
      <c r="B23" s="18">
        <f t="shared" si="2"/>
        <v>26121</v>
      </c>
      <c r="C23" s="18">
        <v>26121</v>
      </c>
      <c r="D23" s="18" t="s">
        <v>98</v>
      </c>
      <c r="E23" s="18">
        <f t="shared" si="3"/>
        <v>29650</v>
      </c>
      <c r="F23" s="18">
        <v>29650</v>
      </c>
      <c r="G23" s="18" t="s">
        <v>98</v>
      </c>
      <c r="H23" s="18">
        <f t="shared" si="4"/>
        <v>26294</v>
      </c>
      <c r="I23" s="18">
        <v>26294</v>
      </c>
      <c r="J23" s="18" t="s">
        <v>98</v>
      </c>
    </row>
    <row r="24" spans="1:10" s="45" customFormat="1" ht="15.95" customHeight="1" x14ac:dyDescent="0.2">
      <c r="A24" s="2" t="s">
        <v>24</v>
      </c>
      <c r="B24" s="18">
        <f t="shared" si="2"/>
        <v>10557</v>
      </c>
      <c r="C24" s="18">
        <v>10391</v>
      </c>
      <c r="D24" s="18">
        <v>166</v>
      </c>
      <c r="E24" s="18">
        <f t="shared" si="3"/>
        <v>14591</v>
      </c>
      <c r="F24" s="18">
        <v>14256</v>
      </c>
      <c r="G24" s="18">
        <v>335</v>
      </c>
      <c r="H24" s="18">
        <f t="shared" si="4"/>
        <v>14947</v>
      </c>
      <c r="I24" s="18">
        <v>14524</v>
      </c>
      <c r="J24" s="18">
        <v>423</v>
      </c>
    </row>
    <row r="25" spans="1:10" s="45" customFormat="1" ht="15.95" customHeight="1" x14ac:dyDescent="0.2">
      <c r="A25" s="2" t="s">
        <v>13</v>
      </c>
      <c r="B25" s="18">
        <f t="shared" si="2"/>
        <v>9659</v>
      </c>
      <c r="C25" s="18">
        <v>6282</v>
      </c>
      <c r="D25" s="18">
        <v>3377</v>
      </c>
      <c r="E25" s="18">
        <f t="shared" si="3"/>
        <v>10392</v>
      </c>
      <c r="F25" s="18">
        <v>6731</v>
      </c>
      <c r="G25" s="18">
        <v>3661</v>
      </c>
      <c r="H25" s="18">
        <f t="shared" si="4"/>
        <v>10539</v>
      </c>
      <c r="I25" s="18">
        <v>7238</v>
      </c>
      <c r="J25" s="18">
        <v>3301</v>
      </c>
    </row>
    <row r="26" spans="1:10" s="45" customFormat="1" ht="15.95" customHeight="1" x14ac:dyDescent="0.2">
      <c r="A26" s="2" t="s">
        <v>6</v>
      </c>
      <c r="B26" s="18">
        <f t="shared" si="2"/>
        <v>22206</v>
      </c>
      <c r="C26" s="18">
        <v>20761</v>
      </c>
      <c r="D26" s="18">
        <v>1445</v>
      </c>
      <c r="E26" s="18">
        <f t="shared" si="3"/>
        <v>27565</v>
      </c>
      <c r="F26" s="18">
        <v>26158</v>
      </c>
      <c r="G26" s="18">
        <v>1407</v>
      </c>
      <c r="H26" s="18">
        <f t="shared" si="4"/>
        <v>16734</v>
      </c>
      <c r="I26" s="18">
        <v>15542</v>
      </c>
      <c r="J26" s="18">
        <v>1192</v>
      </c>
    </row>
    <row r="27" spans="1:10" s="45" customFormat="1" ht="15.95" customHeight="1" x14ac:dyDescent="0.2">
      <c r="A27" s="2" t="s">
        <v>78</v>
      </c>
      <c r="B27" s="18">
        <f t="shared" si="2"/>
        <v>7780</v>
      </c>
      <c r="C27" s="18">
        <v>7780</v>
      </c>
      <c r="D27" s="18" t="s">
        <v>98</v>
      </c>
      <c r="E27" s="18">
        <f t="shared" si="3"/>
        <v>9362</v>
      </c>
      <c r="F27" s="18">
        <v>9362</v>
      </c>
      <c r="G27" s="18" t="s">
        <v>98</v>
      </c>
      <c r="H27" s="18">
        <f t="shared" si="4"/>
        <v>3518</v>
      </c>
      <c r="I27" s="18">
        <v>3518</v>
      </c>
      <c r="J27" s="18" t="s">
        <v>98</v>
      </c>
    </row>
    <row r="28" spans="1:10" s="45" customFormat="1" ht="15.95" customHeight="1" x14ac:dyDescent="0.2">
      <c r="A28" s="2" t="s">
        <v>80</v>
      </c>
      <c r="B28" s="18">
        <f t="shared" si="2"/>
        <v>7848</v>
      </c>
      <c r="C28" s="18">
        <v>7848</v>
      </c>
      <c r="D28" s="18" t="s">
        <v>98</v>
      </c>
      <c r="E28" s="18">
        <f t="shared" si="3"/>
        <v>11201</v>
      </c>
      <c r="F28" s="18">
        <v>11201</v>
      </c>
      <c r="G28" s="18" t="s">
        <v>98</v>
      </c>
      <c r="H28" s="18">
        <f t="shared" si="4"/>
        <v>5971</v>
      </c>
      <c r="I28" s="18">
        <v>5971</v>
      </c>
      <c r="J28" s="18" t="s">
        <v>98</v>
      </c>
    </row>
    <row r="29" spans="1:10" s="45" customFormat="1" ht="15.95" customHeight="1" x14ac:dyDescent="0.2">
      <c r="A29" s="2" t="s">
        <v>4</v>
      </c>
      <c r="B29" s="18">
        <f t="shared" si="2"/>
        <v>9920</v>
      </c>
      <c r="C29" s="18">
        <v>9182</v>
      </c>
      <c r="D29" s="18">
        <v>738</v>
      </c>
      <c r="E29" s="18">
        <f t="shared" si="3"/>
        <v>16433</v>
      </c>
      <c r="F29" s="18">
        <v>14527</v>
      </c>
      <c r="G29" s="18">
        <v>1906</v>
      </c>
      <c r="H29" s="18">
        <f t="shared" si="4"/>
        <v>10205</v>
      </c>
      <c r="I29" s="18">
        <v>9371</v>
      </c>
      <c r="J29" s="18">
        <v>834</v>
      </c>
    </row>
    <row r="30" spans="1:10" s="45" customFormat="1" ht="15.95" customHeight="1" x14ac:dyDescent="0.2">
      <c r="A30" s="2" t="s">
        <v>79</v>
      </c>
      <c r="B30" s="18">
        <f t="shared" si="2"/>
        <v>4407</v>
      </c>
      <c r="C30" s="18">
        <v>4407</v>
      </c>
      <c r="D30" s="18" t="s">
        <v>98</v>
      </c>
      <c r="E30" s="18">
        <f t="shared" si="3"/>
        <v>7488</v>
      </c>
      <c r="F30" s="18">
        <v>7488</v>
      </c>
      <c r="G30" s="18" t="s">
        <v>98</v>
      </c>
      <c r="H30" s="18">
        <f t="shared" si="4"/>
        <v>8817</v>
      </c>
      <c r="I30" s="18">
        <v>8817</v>
      </c>
      <c r="J30" s="18" t="s">
        <v>98</v>
      </c>
    </row>
    <row r="31" spans="1:10" s="58" customFormat="1" ht="15.95" customHeight="1" x14ac:dyDescent="0.2">
      <c r="A31" s="2" t="s">
        <v>3</v>
      </c>
      <c r="B31" s="18">
        <f t="shared" si="2"/>
        <v>21284</v>
      </c>
      <c r="C31" s="18">
        <v>20350</v>
      </c>
      <c r="D31" s="18">
        <v>934</v>
      </c>
      <c r="E31" s="18">
        <f t="shared" si="3"/>
        <v>25749</v>
      </c>
      <c r="F31" s="18">
        <v>23617</v>
      </c>
      <c r="G31" s="18">
        <v>2132</v>
      </c>
      <c r="H31" s="18">
        <f t="shared" si="4"/>
        <v>27276</v>
      </c>
      <c r="I31" s="18">
        <v>26303</v>
      </c>
      <c r="J31" s="18">
        <v>973</v>
      </c>
    </row>
    <row r="32" spans="1:10" s="45" customFormat="1" ht="15.95" customHeight="1" x14ac:dyDescent="0.2">
      <c r="A32" s="2" t="s">
        <v>81</v>
      </c>
      <c r="B32" s="18">
        <f t="shared" si="2"/>
        <v>6472</v>
      </c>
      <c r="C32" s="18">
        <v>6472</v>
      </c>
      <c r="D32" s="18" t="s">
        <v>98</v>
      </c>
      <c r="E32" s="18">
        <f t="shared" si="3"/>
        <v>8994</v>
      </c>
      <c r="F32" s="18">
        <v>8994</v>
      </c>
      <c r="G32" s="18" t="s">
        <v>98</v>
      </c>
      <c r="H32" s="18">
        <f t="shared" si="4"/>
        <v>3103</v>
      </c>
      <c r="I32" s="18">
        <v>3103</v>
      </c>
      <c r="J32" s="18" t="s">
        <v>98</v>
      </c>
    </row>
    <row r="33" spans="1:10" s="58" customFormat="1" ht="15.95" customHeight="1" x14ac:dyDescent="0.2">
      <c r="A33" s="2" t="s">
        <v>22</v>
      </c>
      <c r="B33" s="18">
        <f t="shared" si="2"/>
        <v>789</v>
      </c>
      <c r="C33" s="18">
        <v>562</v>
      </c>
      <c r="D33" s="18">
        <v>227</v>
      </c>
      <c r="E33" s="18">
        <f t="shared" si="3"/>
        <v>1007</v>
      </c>
      <c r="F33" s="18">
        <v>527</v>
      </c>
      <c r="G33" s="18">
        <v>480</v>
      </c>
      <c r="H33" s="18">
        <f t="shared" si="4"/>
        <v>1203</v>
      </c>
      <c r="I33" s="18">
        <v>745</v>
      </c>
      <c r="J33" s="18">
        <v>458</v>
      </c>
    </row>
    <row r="34" spans="1:10" s="45" customFormat="1" ht="15.95" customHeight="1" x14ac:dyDescent="0.2">
      <c r="A34" s="2" t="s">
        <v>7</v>
      </c>
      <c r="B34" s="18">
        <f t="shared" si="2"/>
        <v>34337</v>
      </c>
      <c r="C34" s="18">
        <v>31380</v>
      </c>
      <c r="D34" s="18">
        <v>2957</v>
      </c>
      <c r="E34" s="18">
        <f t="shared" si="3"/>
        <v>36145</v>
      </c>
      <c r="F34" s="18">
        <v>33559</v>
      </c>
      <c r="G34" s="18">
        <v>2586</v>
      </c>
      <c r="H34" s="18">
        <f t="shared" si="4"/>
        <v>33633</v>
      </c>
      <c r="I34" s="18">
        <v>31277</v>
      </c>
      <c r="J34" s="18">
        <v>2356</v>
      </c>
    </row>
    <row r="35" spans="1:10" s="45" customFormat="1" ht="15.95" customHeight="1" x14ac:dyDescent="0.2">
      <c r="A35" s="2" t="s">
        <v>21</v>
      </c>
      <c r="B35" s="18">
        <f t="shared" si="2"/>
        <v>17096</v>
      </c>
      <c r="C35" s="18">
        <v>14833</v>
      </c>
      <c r="D35" s="18">
        <v>2263</v>
      </c>
      <c r="E35" s="18">
        <f t="shared" si="3"/>
        <v>20033</v>
      </c>
      <c r="F35" s="18">
        <v>16605</v>
      </c>
      <c r="G35" s="18">
        <v>3428</v>
      </c>
      <c r="H35" s="18">
        <f t="shared" si="4"/>
        <v>19217</v>
      </c>
      <c r="I35" s="18">
        <v>16131</v>
      </c>
      <c r="J35" s="18">
        <v>3086</v>
      </c>
    </row>
    <row r="36" spans="1:10" s="45" customFormat="1" ht="15.95" customHeight="1" x14ac:dyDescent="0.2">
      <c r="A36" s="2" t="s">
        <v>17</v>
      </c>
      <c r="B36" s="18">
        <f t="shared" si="2"/>
        <v>5270</v>
      </c>
      <c r="C36" s="18">
        <v>2696</v>
      </c>
      <c r="D36" s="18">
        <v>2574</v>
      </c>
      <c r="E36" s="18">
        <f t="shared" si="3"/>
        <v>3640</v>
      </c>
      <c r="F36" s="18">
        <v>2905</v>
      </c>
      <c r="G36" s="18">
        <v>735</v>
      </c>
      <c r="H36" s="18">
        <f t="shared" si="4"/>
        <v>3856</v>
      </c>
      <c r="I36" s="18">
        <v>3306</v>
      </c>
      <c r="J36" s="18">
        <v>550</v>
      </c>
    </row>
    <row r="37" spans="1:10" s="45" customFormat="1" ht="15.95" customHeight="1" x14ac:dyDescent="0.2">
      <c r="A37" s="2" t="s">
        <v>67</v>
      </c>
      <c r="B37" s="18">
        <f t="shared" si="2"/>
        <v>618</v>
      </c>
      <c r="C37" s="18">
        <v>296</v>
      </c>
      <c r="D37" s="18">
        <v>322</v>
      </c>
      <c r="E37" s="18">
        <f t="shared" si="3"/>
        <v>977</v>
      </c>
      <c r="F37" s="18">
        <v>385</v>
      </c>
      <c r="G37" s="18">
        <v>592</v>
      </c>
      <c r="H37" s="18">
        <f t="shared" si="4"/>
        <v>1065</v>
      </c>
      <c r="I37" s="18">
        <v>626</v>
      </c>
      <c r="J37" s="18">
        <v>439</v>
      </c>
    </row>
    <row r="38" spans="1:10" s="12" customFormat="1" ht="12" x14ac:dyDescent="0.2">
      <c r="A38" s="8"/>
      <c r="B38" s="16"/>
      <c r="C38" s="16"/>
      <c r="D38" s="16"/>
      <c r="E38" s="16"/>
      <c r="F38" s="16"/>
      <c r="G38" s="16"/>
      <c r="H38" s="15"/>
      <c r="I38" s="15"/>
      <c r="J38" s="15"/>
    </row>
    <row r="39" spans="1:10" s="12" customFormat="1" ht="12" x14ac:dyDescent="0.2">
      <c r="E39" s="11"/>
      <c r="J39" s="13" t="s">
        <v>73</v>
      </c>
    </row>
    <row r="40" spans="1:10" ht="60" customHeight="1" x14ac:dyDescent="0.2">
      <c r="A40" s="86" t="s">
        <v>66</v>
      </c>
      <c r="B40" s="86"/>
      <c r="C40" s="86"/>
      <c r="D40" s="86"/>
      <c r="E40" s="86"/>
      <c r="F40" s="86"/>
      <c r="G40" s="86"/>
      <c r="H40" s="86"/>
      <c r="I40" s="86"/>
      <c r="J40" s="86"/>
    </row>
    <row r="41" spans="1:10" s="12" customFormat="1" ht="12" x14ac:dyDescent="0.2">
      <c r="A41" s="12" t="s">
        <v>43</v>
      </c>
      <c r="I41" s="114" t="s">
        <v>25</v>
      </c>
      <c r="J41" s="114"/>
    </row>
    <row r="42" spans="1:10" ht="20.100000000000001" customHeight="1" x14ac:dyDescent="0.2">
      <c r="A42" s="85" t="s">
        <v>0</v>
      </c>
      <c r="B42" s="87" t="s">
        <v>74</v>
      </c>
      <c r="C42" s="87"/>
      <c r="D42" s="87"/>
      <c r="E42" s="87" t="s">
        <v>82</v>
      </c>
      <c r="F42" s="87"/>
      <c r="G42" s="87"/>
      <c r="H42" s="87" t="s">
        <v>94</v>
      </c>
      <c r="I42" s="87"/>
      <c r="J42" s="87"/>
    </row>
    <row r="43" spans="1:10" ht="68.25" customHeight="1" x14ac:dyDescent="0.2">
      <c r="A43" s="85"/>
      <c r="B43" s="25" t="s">
        <v>2</v>
      </c>
      <c r="C43" s="25" t="s">
        <v>61</v>
      </c>
      <c r="D43" s="25" t="s">
        <v>62</v>
      </c>
      <c r="E43" s="25" t="s">
        <v>2</v>
      </c>
      <c r="F43" s="25" t="s">
        <v>61</v>
      </c>
      <c r="G43" s="25" t="s">
        <v>62</v>
      </c>
      <c r="H43" s="25" t="s">
        <v>2</v>
      </c>
      <c r="I43" s="25" t="s">
        <v>61</v>
      </c>
      <c r="J43" s="25" t="s">
        <v>62</v>
      </c>
    </row>
    <row r="44" spans="1:10" ht="25.5" customHeight="1" x14ac:dyDescent="0.2">
      <c r="A44" s="6" t="s">
        <v>63</v>
      </c>
      <c r="B44" s="26">
        <f t="shared" ref="B44:F44" si="5">SUM(B45:B76)</f>
        <v>525</v>
      </c>
      <c r="C44" s="26">
        <f t="shared" si="5"/>
        <v>525</v>
      </c>
      <c r="D44" s="7" t="s">
        <v>98</v>
      </c>
      <c r="E44" s="26">
        <f t="shared" si="5"/>
        <v>531</v>
      </c>
      <c r="F44" s="26">
        <f t="shared" si="5"/>
        <v>531</v>
      </c>
      <c r="G44" s="7" t="s">
        <v>98</v>
      </c>
      <c r="H44" s="26">
        <f>SUM(H45:H76)</f>
        <v>609</v>
      </c>
      <c r="I44" s="26">
        <f>SUM(I45:I76)</f>
        <v>609</v>
      </c>
      <c r="J44" s="7" t="s">
        <v>98</v>
      </c>
    </row>
    <row r="45" spans="1:10" ht="15.95" customHeight="1" x14ac:dyDescent="0.2">
      <c r="A45" s="2" t="s">
        <v>11</v>
      </c>
      <c r="B45" s="7">
        <f>SUM(C45:D45)</f>
        <v>12</v>
      </c>
      <c r="C45" s="7">
        <v>12</v>
      </c>
      <c r="D45" s="7" t="s">
        <v>98</v>
      </c>
      <c r="E45" s="7">
        <f>SUM(F45:G45)</f>
        <v>12</v>
      </c>
      <c r="F45" s="7">
        <v>12</v>
      </c>
      <c r="G45" s="7" t="s">
        <v>98</v>
      </c>
      <c r="H45" s="7">
        <f t="shared" ref="H45:H76" si="6">SUM(I45:J45)</f>
        <v>12</v>
      </c>
      <c r="I45" s="7">
        <v>12</v>
      </c>
      <c r="J45" s="7" t="s">
        <v>98</v>
      </c>
    </row>
    <row r="46" spans="1:10" ht="15.95" customHeight="1" x14ac:dyDescent="0.2">
      <c r="A46" s="2" t="s">
        <v>75</v>
      </c>
      <c r="B46" s="7">
        <f t="shared" ref="B46:B76" si="7">SUM(C46:D46)</f>
        <v>12</v>
      </c>
      <c r="C46" s="7">
        <v>12</v>
      </c>
      <c r="D46" s="7" t="s">
        <v>98</v>
      </c>
      <c r="E46" s="7">
        <f t="shared" ref="E46:E76" si="8">SUM(F46:G46)</f>
        <v>12</v>
      </c>
      <c r="F46" s="7">
        <v>12</v>
      </c>
      <c r="G46" s="7" t="s">
        <v>98</v>
      </c>
      <c r="H46" s="7">
        <f t="shared" si="6"/>
        <v>12</v>
      </c>
      <c r="I46" s="32">
        <v>12</v>
      </c>
      <c r="J46" s="7" t="s">
        <v>98</v>
      </c>
    </row>
    <row r="47" spans="1:10" ht="15.95" customHeight="1" x14ac:dyDescent="0.2">
      <c r="A47" s="2" t="s">
        <v>18</v>
      </c>
      <c r="B47" s="7">
        <f t="shared" si="7"/>
        <v>20</v>
      </c>
      <c r="C47" s="7">
        <v>20</v>
      </c>
      <c r="D47" s="7" t="s">
        <v>98</v>
      </c>
      <c r="E47" s="7">
        <f t="shared" si="8"/>
        <v>20</v>
      </c>
      <c r="F47" s="7">
        <v>20</v>
      </c>
      <c r="G47" s="7" t="s">
        <v>98</v>
      </c>
      <c r="H47" s="7">
        <f t="shared" si="6"/>
        <v>48</v>
      </c>
      <c r="I47" s="7">
        <v>48</v>
      </c>
      <c r="J47" s="7" t="s">
        <v>98</v>
      </c>
    </row>
    <row r="48" spans="1:10" ht="15.95" customHeight="1" x14ac:dyDescent="0.2">
      <c r="A48" s="2" t="s">
        <v>14</v>
      </c>
      <c r="B48" s="7">
        <f t="shared" si="7"/>
        <v>3</v>
      </c>
      <c r="C48" s="7">
        <v>3</v>
      </c>
      <c r="D48" s="7" t="s">
        <v>98</v>
      </c>
      <c r="E48" s="7">
        <f t="shared" si="8"/>
        <v>3</v>
      </c>
      <c r="F48" s="7">
        <v>3</v>
      </c>
      <c r="G48" s="7" t="s">
        <v>98</v>
      </c>
      <c r="H48" s="7">
        <f t="shared" si="6"/>
        <v>3</v>
      </c>
      <c r="I48" s="7">
        <v>3</v>
      </c>
      <c r="J48" s="7" t="s">
        <v>98</v>
      </c>
    </row>
    <row r="49" spans="1:10" ht="15.95" customHeight="1" x14ac:dyDescent="0.2">
      <c r="A49" s="2" t="s">
        <v>23</v>
      </c>
      <c r="B49" s="7">
        <f t="shared" si="7"/>
        <v>14</v>
      </c>
      <c r="C49" s="7">
        <v>14</v>
      </c>
      <c r="D49" s="7" t="s">
        <v>98</v>
      </c>
      <c r="E49" s="7">
        <f t="shared" si="8"/>
        <v>14</v>
      </c>
      <c r="F49" s="7">
        <v>14</v>
      </c>
      <c r="G49" s="7" t="s">
        <v>98</v>
      </c>
      <c r="H49" s="7">
        <f t="shared" si="6"/>
        <v>14</v>
      </c>
      <c r="I49" s="7">
        <v>14</v>
      </c>
      <c r="J49" s="7" t="s">
        <v>98</v>
      </c>
    </row>
    <row r="50" spans="1:10" ht="15.95" customHeight="1" x14ac:dyDescent="0.2">
      <c r="A50" s="2" t="s">
        <v>5</v>
      </c>
      <c r="B50" s="7">
        <f t="shared" si="7"/>
        <v>22</v>
      </c>
      <c r="C50" s="7">
        <v>22</v>
      </c>
      <c r="D50" s="7" t="s">
        <v>98</v>
      </c>
      <c r="E50" s="7">
        <f t="shared" si="8"/>
        <v>22</v>
      </c>
      <c r="F50" s="7">
        <v>22</v>
      </c>
      <c r="G50" s="7" t="s">
        <v>98</v>
      </c>
      <c r="H50" s="7">
        <f t="shared" si="6"/>
        <v>22</v>
      </c>
      <c r="I50" s="7">
        <v>22</v>
      </c>
      <c r="J50" s="7" t="s">
        <v>98</v>
      </c>
    </row>
    <row r="51" spans="1:10" ht="15.95" customHeight="1" x14ac:dyDescent="0.2">
      <c r="A51" s="2" t="s">
        <v>20</v>
      </c>
      <c r="B51" s="7">
        <f t="shared" si="7"/>
        <v>4</v>
      </c>
      <c r="C51" s="7">
        <v>4</v>
      </c>
      <c r="D51" s="7" t="s">
        <v>98</v>
      </c>
      <c r="E51" s="7">
        <f t="shared" si="8"/>
        <v>1</v>
      </c>
      <c r="F51" s="7">
        <v>1</v>
      </c>
      <c r="G51" s="7" t="s">
        <v>98</v>
      </c>
      <c r="H51" s="7">
        <f t="shared" si="6"/>
        <v>1</v>
      </c>
      <c r="I51" s="7">
        <v>1</v>
      </c>
      <c r="J51" s="7" t="s">
        <v>98</v>
      </c>
    </row>
    <row r="52" spans="1:10" ht="15.95" customHeight="1" x14ac:dyDescent="0.2">
      <c r="A52" s="2" t="s">
        <v>16</v>
      </c>
      <c r="B52" s="7">
        <f t="shared" si="7"/>
        <v>14</v>
      </c>
      <c r="C52" s="7">
        <v>14</v>
      </c>
      <c r="D52" s="7" t="s">
        <v>98</v>
      </c>
      <c r="E52" s="7">
        <f t="shared" si="8"/>
        <v>15</v>
      </c>
      <c r="F52" s="7">
        <v>15</v>
      </c>
      <c r="G52" s="7" t="s">
        <v>98</v>
      </c>
      <c r="H52" s="7">
        <f t="shared" si="6"/>
        <v>40</v>
      </c>
      <c r="I52" s="7">
        <v>40</v>
      </c>
      <c r="J52" s="7" t="s">
        <v>98</v>
      </c>
    </row>
    <row r="53" spans="1:10" ht="15.95" customHeight="1" x14ac:dyDescent="0.2">
      <c r="A53" s="2" t="s">
        <v>68</v>
      </c>
      <c r="B53" s="7">
        <f t="shared" si="7"/>
        <v>20</v>
      </c>
      <c r="C53" s="7">
        <v>20</v>
      </c>
      <c r="D53" s="7" t="s">
        <v>98</v>
      </c>
      <c r="E53" s="7">
        <f t="shared" si="8"/>
        <v>20</v>
      </c>
      <c r="F53" s="7">
        <v>20</v>
      </c>
      <c r="G53" s="7" t="s">
        <v>98</v>
      </c>
      <c r="H53" s="7">
        <f t="shared" si="6"/>
        <v>20</v>
      </c>
      <c r="I53" s="7">
        <v>20</v>
      </c>
      <c r="J53" s="7" t="s">
        <v>98</v>
      </c>
    </row>
    <row r="54" spans="1:10" ht="15.95" customHeight="1" x14ac:dyDescent="0.2">
      <c r="A54" s="2" t="s">
        <v>69</v>
      </c>
      <c r="B54" s="7">
        <f t="shared" si="7"/>
        <v>8</v>
      </c>
      <c r="C54" s="7">
        <v>8</v>
      </c>
      <c r="D54" s="7" t="s">
        <v>98</v>
      </c>
      <c r="E54" s="7">
        <f t="shared" si="8"/>
        <v>8</v>
      </c>
      <c r="F54" s="7">
        <v>8</v>
      </c>
      <c r="G54" s="7" t="s">
        <v>98</v>
      </c>
      <c r="H54" s="7">
        <f t="shared" si="6"/>
        <v>8</v>
      </c>
      <c r="I54" s="7">
        <v>8</v>
      </c>
      <c r="J54" s="7" t="s">
        <v>98</v>
      </c>
    </row>
    <row r="55" spans="1:10" ht="15.95" customHeight="1" x14ac:dyDescent="0.2">
      <c r="A55" s="2" t="s">
        <v>9</v>
      </c>
      <c r="B55" s="7">
        <f t="shared" si="7"/>
        <v>6</v>
      </c>
      <c r="C55" s="7">
        <v>6</v>
      </c>
      <c r="D55" s="7" t="s">
        <v>98</v>
      </c>
      <c r="E55" s="7">
        <f t="shared" si="8"/>
        <v>6</v>
      </c>
      <c r="F55" s="7">
        <v>6</v>
      </c>
      <c r="G55" s="7" t="s">
        <v>98</v>
      </c>
      <c r="H55" s="7">
        <f t="shared" si="6"/>
        <v>6</v>
      </c>
      <c r="I55" s="7">
        <v>6</v>
      </c>
      <c r="J55" s="7" t="s">
        <v>98</v>
      </c>
    </row>
    <row r="56" spans="1:10" ht="15.95" customHeight="1" x14ac:dyDescent="0.2">
      <c r="A56" s="2" t="s">
        <v>12</v>
      </c>
      <c r="B56" s="7">
        <f t="shared" si="7"/>
        <v>17</v>
      </c>
      <c r="C56" s="7">
        <v>17</v>
      </c>
      <c r="D56" s="7" t="s">
        <v>98</v>
      </c>
      <c r="E56" s="7">
        <f t="shared" si="8"/>
        <v>17</v>
      </c>
      <c r="F56" s="7">
        <v>17</v>
      </c>
      <c r="G56" s="7" t="s">
        <v>98</v>
      </c>
      <c r="H56" s="7">
        <f t="shared" si="6"/>
        <v>17</v>
      </c>
      <c r="I56" s="7">
        <v>17</v>
      </c>
      <c r="J56" s="7" t="s">
        <v>98</v>
      </c>
    </row>
    <row r="57" spans="1:10" ht="15.95" customHeight="1" x14ac:dyDescent="0.2">
      <c r="A57" s="2" t="s">
        <v>10</v>
      </c>
      <c r="B57" s="7">
        <f t="shared" si="7"/>
        <v>14</v>
      </c>
      <c r="C57" s="7">
        <v>14</v>
      </c>
      <c r="D57" s="7" t="s">
        <v>98</v>
      </c>
      <c r="E57" s="7">
        <f t="shared" si="8"/>
        <v>16</v>
      </c>
      <c r="F57" s="7">
        <v>16</v>
      </c>
      <c r="G57" s="7" t="s">
        <v>98</v>
      </c>
      <c r="H57" s="7">
        <f t="shared" si="6"/>
        <v>16</v>
      </c>
      <c r="I57" s="7">
        <v>16</v>
      </c>
      <c r="J57" s="7" t="s">
        <v>98</v>
      </c>
    </row>
    <row r="58" spans="1:10" ht="15.95" customHeight="1" x14ac:dyDescent="0.2">
      <c r="A58" s="2" t="s">
        <v>76</v>
      </c>
      <c r="B58" s="7">
        <f t="shared" si="7"/>
        <v>36</v>
      </c>
      <c r="C58" s="32">
        <v>36</v>
      </c>
      <c r="D58" s="32" t="s">
        <v>98</v>
      </c>
      <c r="E58" s="7">
        <f t="shared" si="8"/>
        <v>36</v>
      </c>
      <c r="F58" s="7">
        <v>36</v>
      </c>
      <c r="G58" s="7" t="s">
        <v>98</v>
      </c>
      <c r="H58" s="7">
        <f t="shared" si="6"/>
        <v>36</v>
      </c>
      <c r="I58" s="32">
        <v>36</v>
      </c>
      <c r="J58" s="7" t="s">
        <v>98</v>
      </c>
    </row>
    <row r="59" spans="1:10" ht="15.95" customHeight="1" x14ac:dyDescent="0.2">
      <c r="A59" s="2" t="s">
        <v>8</v>
      </c>
      <c r="B59" s="7">
        <f t="shared" si="7"/>
        <v>13</v>
      </c>
      <c r="C59" s="7">
        <v>13</v>
      </c>
      <c r="D59" s="7" t="s">
        <v>98</v>
      </c>
      <c r="E59" s="7">
        <f t="shared" si="8"/>
        <v>14</v>
      </c>
      <c r="F59" s="7">
        <v>14</v>
      </c>
      <c r="G59" s="7" t="s">
        <v>98</v>
      </c>
      <c r="H59" s="7">
        <f t="shared" si="6"/>
        <v>14</v>
      </c>
      <c r="I59" s="7">
        <v>14</v>
      </c>
      <c r="J59" s="7" t="s">
        <v>98</v>
      </c>
    </row>
    <row r="60" spans="1:10" ht="15.95" customHeight="1" x14ac:dyDescent="0.2">
      <c r="A60" s="2" t="s">
        <v>15</v>
      </c>
      <c r="B60" s="7">
        <f t="shared" si="7"/>
        <v>0</v>
      </c>
      <c r="C60" s="7" t="s">
        <v>98</v>
      </c>
      <c r="D60" s="7" t="s">
        <v>98</v>
      </c>
      <c r="E60" s="7">
        <f t="shared" si="8"/>
        <v>0</v>
      </c>
      <c r="F60" s="7" t="s">
        <v>98</v>
      </c>
      <c r="G60" s="7" t="s">
        <v>98</v>
      </c>
      <c r="H60" s="7">
        <f t="shared" si="6"/>
        <v>0</v>
      </c>
      <c r="I60" s="7" t="s">
        <v>98</v>
      </c>
      <c r="J60" s="7" t="s">
        <v>98</v>
      </c>
    </row>
    <row r="61" spans="1:10" ht="15.95" customHeight="1" x14ac:dyDescent="0.2">
      <c r="A61" s="2" t="s">
        <v>77</v>
      </c>
      <c r="B61" s="7">
        <f t="shared" si="7"/>
        <v>22</v>
      </c>
      <c r="C61" s="32">
        <v>22</v>
      </c>
      <c r="D61" s="32" t="s">
        <v>98</v>
      </c>
      <c r="E61" s="7">
        <f t="shared" si="8"/>
        <v>22</v>
      </c>
      <c r="F61" s="7">
        <v>22</v>
      </c>
      <c r="G61" s="7" t="s">
        <v>98</v>
      </c>
      <c r="H61" s="7">
        <f t="shared" si="6"/>
        <v>22</v>
      </c>
      <c r="I61" s="32">
        <v>22</v>
      </c>
      <c r="J61" s="7" t="s">
        <v>98</v>
      </c>
    </row>
    <row r="62" spans="1:10" ht="15.95" customHeight="1" x14ac:dyDescent="0.2">
      <c r="A62" s="2" t="s">
        <v>19</v>
      </c>
      <c r="B62" s="7">
        <f t="shared" si="7"/>
        <v>17</v>
      </c>
      <c r="C62" s="7">
        <v>17</v>
      </c>
      <c r="D62" s="7" t="s">
        <v>98</v>
      </c>
      <c r="E62" s="7">
        <f t="shared" si="8"/>
        <v>17</v>
      </c>
      <c r="F62" s="7">
        <v>17</v>
      </c>
      <c r="G62" s="7" t="s">
        <v>98</v>
      </c>
      <c r="H62" s="7">
        <f t="shared" si="6"/>
        <v>17</v>
      </c>
      <c r="I62" s="7">
        <v>17</v>
      </c>
      <c r="J62" s="7" t="s">
        <v>98</v>
      </c>
    </row>
    <row r="63" spans="1:10" ht="15.95" customHeight="1" x14ac:dyDescent="0.2">
      <c r="A63" s="2" t="s">
        <v>24</v>
      </c>
      <c r="B63" s="7">
        <f t="shared" si="7"/>
        <v>14</v>
      </c>
      <c r="C63" s="7">
        <v>14</v>
      </c>
      <c r="D63" s="7" t="s">
        <v>98</v>
      </c>
      <c r="E63" s="7">
        <f t="shared" si="8"/>
        <v>16</v>
      </c>
      <c r="F63" s="7">
        <v>16</v>
      </c>
      <c r="G63" s="7" t="s">
        <v>98</v>
      </c>
      <c r="H63" s="7">
        <f t="shared" si="6"/>
        <v>16</v>
      </c>
      <c r="I63" s="7">
        <v>16</v>
      </c>
      <c r="J63" s="7" t="s">
        <v>98</v>
      </c>
    </row>
    <row r="64" spans="1:10" ht="15.95" customHeight="1" x14ac:dyDescent="0.2">
      <c r="A64" s="2" t="s">
        <v>13</v>
      </c>
      <c r="B64" s="7">
        <f t="shared" si="7"/>
        <v>12</v>
      </c>
      <c r="C64" s="7">
        <v>12</v>
      </c>
      <c r="D64" s="7" t="s">
        <v>98</v>
      </c>
      <c r="E64" s="7">
        <f t="shared" si="8"/>
        <v>12</v>
      </c>
      <c r="F64" s="7">
        <v>12</v>
      </c>
      <c r="G64" s="7" t="s">
        <v>98</v>
      </c>
      <c r="H64" s="7">
        <f t="shared" si="6"/>
        <v>12</v>
      </c>
      <c r="I64" s="7">
        <v>12</v>
      </c>
      <c r="J64" s="7" t="s">
        <v>98</v>
      </c>
    </row>
    <row r="65" spans="1:10" ht="15.95" customHeight="1" x14ac:dyDescent="0.2">
      <c r="A65" s="2" t="s">
        <v>6</v>
      </c>
      <c r="B65" s="7">
        <f t="shared" si="7"/>
        <v>30</v>
      </c>
      <c r="C65" s="7">
        <v>30</v>
      </c>
      <c r="D65" s="7" t="s">
        <v>98</v>
      </c>
      <c r="E65" s="7">
        <f t="shared" si="8"/>
        <v>30</v>
      </c>
      <c r="F65" s="7">
        <v>30</v>
      </c>
      <c r="G65" s="7" t="s">
        <v>98</v>
      </c>
      <c r="H65" s="7">
        <f t="shared" si="6"/>
        <v>30</v>
      </c>
      <c r="I65" s="7">
        <v>30</v>
      </c>
      <c r="J65" s="7" t="s">
        <v>98</v>
      </c>
    </row>
    <row r="66" spans="1:10" ht="15.95" customHeight="1" x14ac:dyDescent="0.2">
      <c r="A66" s="2" t="s">
        <v>78</v>
      </c>
      <c r="B66" s="7">
        <f t="shared" si="7"/>
        <v>30</v>
      </c>
      <c r="C66" s="32">
        <v>30</v>
      </c>
      <c r="D66" s="32" t="s">
        <v>98</v>
      </c>
      <c r="E66" s="7">
        <f t="shared" si="8"/>
        <v>30</v>
      </c>
      <c r="F66" s="32">
        <v>30</v>
      </c>
      <c r="G66" s="7" t="s">
        <v>98</v>
      </c>
      <c r="H66" s="7">
        <f t="shared" si="6"/>
        <v>30</v>
      </c>
      <c r="I66" s="32">
        <v>30</v>
      </c>
      <c r="J66" s="7" t="s">
        <v>98</v>
      </c>
    </row>
    <row r="67" spans="1:10" ht="15.95" customHeight="1" x14ac:dyDescent="0.2">
      <c r="A67" s="2" t="s">
        <v>80</v>
      </c>
      <c r="B67" s="7">
        <f t="shared" si="7"/>
        <v>25</v>
      </c>
      <c r="C67" s="32">
        <v>25</v>
      </c>
      <c r="D67" s="32" t="s">
        <v>98</v>
      </c>
      <c r="E67" s="7">
        <f t="shared" si="8"/>
        <v>25</v>
      </c>
      <c r="F67" s="32">
        <v>25</v>
      </c>
      <c r="G67" s="7" t="s">
        <v>98</v>
      </c>
      <c r="H67" s="7">
        <f t="shared" si="6"/>
        <v>25</v>
      </c>
      <c r="I67" s="32">
        <v>25</v>
      </c>
      <c r="J67" s="7" t="s">
        <v>98</v>
      </c>
    </row>
    <row r="68" spans="1:10" ht="15.95" customHeight="1" x14ac:dyDescent="0.2">
      <c r="A68" s="2" t="s">
        <v>4</v>
      </c>
      <c r="B68" s="7">
        <f t="shared" si="7"/>
        <v>16</v>
      </c>
      <c r="C68" s="7">
        <v>16</v>
      </c>
      <c r="D68" s="7" t="s">
        <v>98</v>
      </c>
      <c r="E68" s="7">
        <f t="shared" si="8"/>
        <v>21</v>
      </c>
      <c r="F68" s="7">
        <v>21</v>
      </c>
      <c r="G68" s="7" t="s">
        <v>98</v>
      </c>
      <c r="H68" s="7">
        <f t="shared" si="6"/>
        <v>21</v>
      </c>
      <c r="I68" s="7">
        <v>21</v>
      </c>
      <c r="J68" s="7" t="s">
        <v>98</v>
      </c>
    </row>
    <row r="69" spans="1:10" ht="15.95" customHeight="1" x14ac:dyDescent="0.2">
      <c r="A69" s="2" t="s">
        <v>79</v>
      </c>
      <c r="B69" s="7">
        <f t="shared" si="7"/>
        <v>25</v>
      </c>
      <c r="C69" s="7">
        <v>25</v>
      </c>
      <c r="D69" s="7" t="s">
        <v>98</v>
      </c>
      <c r="E69" s="7">
        <f t="shared" si="8"/>
        <v>25</v>
      </c>
      <c r="F69" s="7">
        <v>25</v>
      </c>
      <c r="G69" s="7" t="s">
        <v>98</v>
      </c>
      <c r="H69" s="7">
        <f t="shared" si="6"/>
        <v>25</v>
      </c>
      <c r="I69" s="32">
        <v>25</v>
      </c>
      <c r="J69" s="7" t="s">
        <v>98</v>
      </c>
    </row>
    <row r="70" spans="1:10" s="12" customFormat="1" ht="15.95" customHeight="1" x14ac:dyDescent="0.2">
      <c r="A70" s="2" t="s">
        <v>3</v>
      </c>
      <c r="B70" s="7">
        <f t="shared" si="7"/>
        <v>23</v>
      </c>
      <c r="C70" s="7">
        <v>23</v>
      </c>
      <c r="D70" s="7" t="s">
        <v>98</v>
      </c>
      <c r="E70" s="7">
        <f t="shared" si="8"/>
        <v>23</v>
      </c>
      <c r="F70" s="7">
        <v>23</v>
      </c>
      <c r="G70" s="7" t="s">
        <v>98</v>
      </c>
      <c r="H70" s="7">
        <f t="shared" si="6"/>
        <v>48</v>
      </c>
      <c r="I70" s="7">
        <v>48</v>
      </c>
      <c r="J70" s="7" t="s">
        <v>98</v>
      </c>
    </row>
    <row r="71" spans="1:10" ht="15.95" customHeight="1" x14ac:dyDescent="0.2">
      <c r="A71" s="2" t="s">
        <v>81</v>
      </c>
      <c r="B71" s="7">
        <f t="shared" si="7"/>
        <v>27</v>
      </c>
      <c r="C71" s="7">
        <v>27</v>
      </c>
      <c r="D71" s="7" t="s">
        <v>98</v>
      </c>
      <c r="E71" s="7">
        <f t="shared" si="8"/>
        <v>27</v>
      </c>
      <c r="F71" s="7">
        <v>27</v>
      </c>
      <c r="G71" s="7" t="s">
        <v>98</v>
      </c>
      <c r="H71" s="7">
        <f t="shared" si="6"/>
        <v>27</v>
      </c>
      <c r="I71" s="32">
        <v>27</v>
      </c>
      <c r="J71" s="7" t="s">
        <v>98</v>
      </c>
    </row>
    <row r="72" spans="1:10" s="12" customFormat="1" ht="15.95" customHeight="1" x14ac:dyDescent="0.2">
      <c r="A72" s="2" t="s">
        <v>22</v>
      </c>
      <c r="B72" s="7">
        <f t="shared" si="7"/>
        <v>4</v>
      </c>
      <c r="C72" s="7">
        <v>4</v>
      </c>
      <c r="D72" s="7" t="s">
        <v>98</v>
      </c>
      <c r="E72" s="7">
        <f t="shared" si="8"/>
        <v>4</v>
      </c>
      <c r="F72" s="7">
        <v>4</v>
      </c>
      <c r="G72" s="7" t="s">
        <v>98</v>
      </c>
      <c r="H72" s="7">
        <f t="shared" si="6"/>
        <v>4</v>
      </c>
      <c r="I72" s="7">
        <v>4</v>
      </c>
      <c r="J72" s="7" t="s">
        <v>98</v>
      </c>
    </row>
    <row r="73" spans="1:10" ht="15.95" customHeight="1" x14ac:dyDescent="0.2">
      <c r="A73" s="2" t="s">
        <v>7</v>
      </c>
      <c r="B73" s="7">
        <f t="shared" si="7"/>
        <v>32</v>
      </c>
      <c r="C73" s="7">
        <v>32</v>
      </c>
      <c r="D73" s="7" t="s">
        <v>98</v>
      </c>
      <c r="E73" s="7">
        <f t="shared" si="8"/>
        <v>32</v>
      </c>
      <c r="F73" s="7">
        <v>32</v>
      </c>
      <c r="G73" s="7" t="s">
        <v>98</v>
      </c>
      <c r="H73" s="7">
        <f t="shared" si="6"/>
        <v>32</v>
      </c>
      <c r="I73" s="7">
        <v>32</v>
      </c>
      <c r="J73" s="7" t="s">
        <v>98</v>
      </c>
    </row>
    <row r="74" spans="1:10" ht="15.95" customHeight="1" x14ac:dyDescent="0.2">
      <c r="A74" s="2" t="s">
        <v>21</v>
      </c>
      <c r="B74" s="7">
        <f t="shared" si="7"/>
        <v>24</v>
      </c>
      <c r="C74" s="7">
        <v>24</v>
      </c>
      <c r="D74" s="7" t="s">
        <v>98</v>
      </c>
      <c r="E74" s="7">
        <f t="shared" si="8"/>
        <v>24</v>
      </c>
      <c r="F74" s="7">
        <v>24</v>
      </c>
      <c r="G74" s="7" t="s">
        <v>98</v>
      </c>
      <c r="H74" s="7">
        <f t="shared" si="6"/>
        <v>24</v>
      </c>
      <c r="I74" s="7">
        <v>24</v>
      </c>
      <c r="J74" s="7" t="s">
        <v>98</v>
      </c>
    </row>
    <row r="75" spans="1:10" ht="15.95" customHeight="1" x14ac:dyDescent="0.2">
      <c r="A75" s="2" t="s">
        <v>17</v>
      </c>
      <c r="B75" s="7">
        <f t="shared" si="7"/>
        <v>7</v>
      </c>
      <c r="C75" s="7">
        <v>7</v>
      </c>
      <c r="D75" s="7" t="s">
        <v>98</v>
      </c>
      <c r="E75" s="7">
        <f t="shared" si="8"/>
        <v>5</v>
      </c>
      <c r="F75" s="7">
        <v>5</v>
      </c>
      <c r="G75" s="7" t="s">
        <v>98</v>
      </c>
      <c r="H75" s="7">
        <f t="shared" si="6"/>
        <v>5</v>
      </c>
      <c r="I75" s="7">
        <v>5</v>
      </c>
      <c r="J75" s="7" t="s">
        <v>98</v>
      </c>
    </row>
    <row r="76" spans="1:10" ht="15.95" customHeight="1" x14ac:dyDescent="0.2">
      <c r="A76" s="2" t="s">
        <v>67</v>
      </c>
      <c r="B76" s="7">
        <f t="shared" si="7"/>
        <v>2</v>
      </c>
      <c r="C76" s="7">
        <v>2</v>
      </c>
      <c r="D76" s="7" t="s">
        <v>98</v>
      </c>
      <c r="E76" s="7">
        <f t="shared" si="8"/>
        <v>2</v>
      </c>
      <c r="F76" s="7">
        <v>2</v>
      </c>
      <c r="G76" s="7" t="s">
        <v>98</v>
      </c>
      <c r="H76" s="7">
        <f t="shared" si="6"/>
        <v>2</v>
      </c>
      <c r="I76" s="7">
        <v>2</v>
      </c>
      <c r="J76" s="7" t="s">
        <v>98</v>
      </c>
    </row>
    <row r="77" spans="1:10" x14ac:dyDescent="0.2">
      <c r="A77" s="27"/>
      <c r="B77" s="16"/>
      <c r="C77" s="16"/>
      <c r="D77" s="16"/>
      <c r="E77" s="16"/>
      <c r="F77" s="16"/>
      <c r="G77" s="31"/>
      <c r="H77" s="10"/>
      <c r="I77" s="10"/>
      <c r="J77" s="31"/>
    </row>
    <row r="78" spans="1:10" x14ac:dyDescent="0.2">
      <c r="A78" s="12"/>
      <c r="B78" s="12"/>
      <c r="D78" s="12"/>
      <c r="F78" s="12"/>
      <c r="J78" s="13" t="s">
        <v>73</v>
      </c>
    </row>
    <row r="79" spans="1:10" x14ac:dyDescent="0.2">
      <c r="A79" s="14"/>
      <c r="B79" s="12"/>
      <c r="C79" s="12"/>
      <c r="D79" s="29"/>
      <c r="E79" s="11"/>
      <c r="F79" s="12"/>
    </row>
  </sheetData>
  <sortState ref="A45:J76">
    <sortCondition ref="A45:A76"/>
  </sortState>
  <mergeCells count="12">
    <mergeCell ref="B3:D3"/>
    <mergeCell ref="E3:G3"/>
    <mergeCell ref="H3:J3"/>
    <mergeCell ref="A1:J1"/>
    <mergeCell ref="A3:A4"/>
    <mergeCell ref="I2:J2"/>
    <mergeCell ref="A40:J40"/>
    <mergeCell ref="A42:A43"/>
    <mergeCell ref="B42:D42"/>
    <mergeCell ref="E42:G42"/>
    <mergeCell ref="H42:J42"/>
    <mergeCell ref="I41:J41"/>
  </mergeCells>
  <phoneticPr fontId="0" type="noConversion"/>
  <printOptions horizontalCentered="1"/>
  <pageMargins left="0.74803149606299202" right="0.74803149606299202" top="0.98425196850393704" bottom="0.98425196850393704" header="0.511811023622047" footer="0.511811023622047"/>
  <pageSetup paperSize="9" firstPageNumber="11" orientation="portrait" r:id="rId1"/>
  <headerFooter alignWithMargins="0">
    <oddHeader>&amp;C&amp;P</oddHeader>
  </headerFooter>
  <rowBreaks count="1" manualBreakCount="1">
    <brk id="3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39"/>
  <sheetViews>
    <sheetView view="pageBreakPreview" zoomScaleSheetLayoutView="100" workbookViewId="0">
      <selection activeCell="E2" sqref="E2"/>
    </sheetView>
  </sheetViews>
  <sheetFormatPr defaultRowHeight="12.75" x14ac:dyDescent="0.2"/>
  <cols>
    <col min="1" max="1" width="12" style="35" customWidth="1"/>
    <col min="2" max="2" width="10.140625" style="35" customWidth="1"/>
    <col min="3" max="6" width="9.140625" style="35" customWidth="1"/>
    <col min="7" max="7" width="10.140625" style="35" customWidth="1"/>
    <col min="8" max="9" width="6.5703125" style="35" customWidth="1"/>
    <col min="10" max="10" width="7.5703125" style="35" customWidth="1"/>
    <col min="11" max="11" width="6.28515625" style="35" customWidth="1"/>
    <col min="12" max="16384" width="9.140625" style="35"/>
  </cols>
  <sheetData>
    <row r="1" spans="1:11" ht="54.95" customHeight="1" x14ac:dyDescent="0.2">
      <c r="A1" s="86" t="s">
        <v>55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s="38" customFormat="1" ht="12" x14ac:dyDescent="0.2">
      <c r="A2" s="12" t="s">
        <v>44</v>
      </c>
      <c r="B2" s="12"/>
      <c r="C2" s="12"/>
      <c r="D2" s="12"/>
      <c r="E2" s="12"/>
      <c r="F2" s="12"/>
      <c r="G2" s="12"/>
      <c r="H2" s="12"/>
      <c r="I2" s="12"/>
      <c r="J2" s="114" t="s">
        <v>37</v>
      </c>
      <c r="K2" s="114"/>
    </row>
    <row r="3" spans="1:11" ht="25.5" customHeight="1" x14ac:dyDescent="0.2">
      <c r="A3" s="55" t="s">
        <v>0</v>
      </c>
      <c r="B3" s="39" t="s">
        <v>2</v>
      </c>
      <c r="C3" s="39" t="s">
        <v>27</v>
      </c>
      <c r="D3" s="39" t="s">
        <v>28</v>
      </c>
      <c r="E3" s="39" t="s">
        <v>29</v>
      </c>
      <c r="F3" s="39" t="s">
        <v>30</v>
      </c>
      <c r="G3" s="39" t="s">
        <v>32</v>
      </c>
      <c r="H3" s="39" t="s">
        <v>33</v>
      </c>
      <c r="I3" s="39" t="s">
        <v>34</v>
      </c>
      <c r="J3" s="39" t="s">
        <v>35</v>
      </c>
      <c r="K3" s="39" t="s">
        <v>36</v>
      </c>
    </row>
    <row r="4" spans="1:11" ht="25.5" customHeight="1" x14ac:dyDescent="0.2">
      <c r="A4" s="67" t="s">
        <v>63</v>
      </c>
      <c r="B4" s="17">
        <f>SUM(B5:B36)</f>
        <v>49159413</v>
      </c>
      <c r="C4" s="17">
        <f t="shared" ref="C4:K4" si="0">SUM(C5:C36)</f>
        <v>5967886</v>
      </c>
      <c r="D4" s="17">
        <f t="shared" si="0"/>
        <v>1927395</v>
      </c>
      <c r="E4" s="17">
        <f t="shared" si="0"/>
        <v>3153490</v>
      </c>
      <c r="F4" s="17">
        <f t="shared" si="0"/>
        <v>9649017</v>
      </c>
      <c r="G4" s="17">
        <f t="shared" si="0"/>
        <v>27695106</v>
      </c>
      <c r="H4" s="17">
        <f t="shared" si="0"/>
        <v>63862</v>
      </c>
      <c r="I4" s="17">
        <f t="shared" si="0"/>
        <v>76174</v>
      </c>
      <c r="J4" s="17">
        <f t="shared" si="0"/>
        <v>559853</v>
      </c>
      <c r="K4" s="17">
        <f t="shared" si="0"/>
        <v>66630</v>
      </c>
    </row>
    <row r="5" spans="1:11" s="78" customFormat="1" ht="17.25" customHeight="1" x14ac:dyDescent="0.2">
      <c r="A5" s="2" t="s">
        <v>11</v>
      </c>
      <c r="B5" s="56">
        <f>SUM(C5:K5)</f>
        <v>1259917</v>
      </c>
      <c r="C5" s="56">
        <v>111415</v>
      </c>
      <c r="D5" s="56">
        <v>104582</v>
      </c>
      <c r="E5" s="56">
        <v>13109</v>
      </c>
      <c r="F5" s="56">
        <v>245060</v>
      </c>
      <c r="G5" s="56">
        <v>773095</v>
      </c>
      <c r="H5" s="56">
        <v>712</v>
      </c>
      <c r="I5" s="56">
        <v>935</v>
      </c>
      <c r="J5" s="56">
        <v>9930</v>
      </c>
      <c r="K5" s="56">
        <v>1079</v>
      </c>
    </row>
    <row r="6" spans="1:11" s="78" customFormat="1" ht="17.25" customHeight="1" x14ac:dyDescent="0.2">
      <c r="A6" s="43" t="s">
        <v>75</v>
      </c>
      <c r="B6" s="56">
        <f t="shared" ref="B6:B36" si="1">SUM(C6:K6)</f>
        <v>1076228</v>
      </c>
      <c r="C6" s="18">
        <v>132274</v>
      </c>
      <c r="D6" s="18">
        <v>15207</v>
      </c>
      <c r="E6" s="18">
        <v>53025</v>
      </c>
      <c r="F6" s="18">
        <v>173358</v>
      </c>
      <c r="G6" s="18">
        <v>697361</v>
      </c>
      <c r="H6" s="18">
        <v>417</v>
      </c>
      <c r="I6" s="18">
        <v>50</v>
      </c>
      <c r="J6" s="18">
        <v>4407</v>
      </c>
      <c r="K6" s="18">
        <v>129</v>
      </c>
    </row>
    <row r="7" spans="1:11" s="78" customFormat="1" ht="17.25" customHeight="1" x14ac:dyDescent="0.2">
      <c r="A7" s="2" t="s">
        <v>18</v>
      </c>
      <c r="B7" s="56">
        <f t="shared" si="1"/>
        <v>3354439</v>
      </c>
      <c r="C7" s="56">
        <f>168927+97429</f>
        <v>266356</v>
      </c>
      <c r="D7" s="56">
        <f>56181+11522</f>
        <v>67703</v>
      </c>
      <c r="E7" s="56">
        <f>92164+128448</f>
        <v>220612</v>
      </c>
      <c r="F7" s="56">
        <f>221922+639587</f>
        <v>861509</v>
      </c>
      <c r="G7" s="56">
        <f>1437026+472106</f>
        <v>1909132</v>
      </c>
      <c r="H7" s="56">
        <f>803+910</f>
        <v>1713</v>
      </c>
      <c r="I7" s="56">
        <f>1771+53</f>
        <v>1824</v>
      </c>
      <c r="J7" s="56">
        <f>20054+5055</f>
        <v>25109</v>
      </c>
      <c r="K7" s="56">
        <f>442+39</f>
        <v>481</v>
      </c>
    </row>
    <row r="8" spans="1:11" s="78" customFormat="1" ht="17.25" customHeight="1" x14ac:dyDescent="0.2">
      <c r="A8" s="2" t="s">
        <v>14</v>
      </c>
      <c r="B8" s="56">
        <f t="shared" si="1"/>
        <v>1025753</v>
      </c>
      <c r="C8" s="56">
        <v>119699</v>
      </c>
      <c r="D8" s="56">
        <v>78233</v>
      </c>
      <c r="E8" s="56">
        <v>15280</v>
      </c>
      <c r="F8" s="56">
        <v>122664</v>
      </c>
      <c r="G8" s="56">
        <v>676631</v>
      </c>
      <c r="H8" s="56">
        <v>143</v>
      </c>
      <c r="I8" s="56">
        <v>1064</v>
      </c>
      <c r="J8" s="56">
        <v>9985</v>
      </c>
      <c r="K8" s="56">
        <v>2054</v>
      </c>
    </row>
    <row r="9" spans="1:11" s="78" customFormat="1" ht="17.25" customHeight="1" x14ac:dyDescent="0.2">
      <c r="A9" s="2" t="s">
        <v>23</v>
      </c>
      <c r="B9" s="56">
        <f t="shared" si="1"/>
        <v>1130620</v>
      </c>
      <c r="C9" s="56">
        <v>131985</v>
      </c>
      <c r="D9" s="56">
        <v>79644</v>
      </c>
      <c r="E9" s="56">
        <v>31909</v>
      </c>
      <c r="F9" s="56">
        <v>130948</v>
      </c>
      <c r="G9" s="56">
        <v>737762</v>
      </c>
      <c r="H9" s="56">
        <v>2094</v>
      </c>
      <c r="I9" s="56">
        <v>1257</v>
      </c>
      <c r="J9" s="56">
        <v>13868</v>
      </c>
      <c r="K9" s="56">
        <v>1153</v>
      </c>
    </row>
    <row r="10" spans="1:11" s="78" customFormat="1" ht="17.25" customHeight="1" x14ac:dyDescent="0.2">
      <c r="A10" s="2" t="s">
        <v>5</v>
      </c>
      <c r="B10" s="56">
        <f t="shared" si="1"/>
        <v>1750692</v>
      </c>
      <c r="C10" s="56">
        <v>239899</v>
      </c>
      <c r="D10" s="56">
        <v>110697</v>
      </c>
      <c r="E10" s="56">
        <v>47694</v>
      </c>
      <c r="F10" s="56">
        <v>173211</v>
      </c>
      <c r="G10" s="56">
        <v>1157593</v>
      </c>
      <c r="H10" s="56">
        <v>451</v>
      </c>
      <c r="I10" s="56">
        <v>2368</v>
      </c>
      <c r="J10" s="56">
        <v>18358</v>
      </c>
      <c r="K10" s="56">
        <v>421</v>
      </c>
    </row>
    <row r="11" spans="1:11" s="78" customFormat="1" ht="17.25" customHeight="1" x14ac:dyDescent="0.2">
      <c r="A11" s="2" t="s">
        <v>20</v>
      </c>
      <c r="B11" s="56">
        <f t="shared" si="1"/>
        <v>1131624</v>
      </c>
      <c r="C11" s="56">
        <v>174842</v>
      </c>
      <c r="D11" s="56">
        <v>296</v>
      </c>
      <c r="E11" s="56">
        <v>181146</v>
      </c>
      <c r="F11" s="56">
        <v>347977</v>
      </c>
      <c r="G11" s="56">
        <v>423749</v>
      </c>
      <c r="H11" s="18" t="s">
        <v>98</v>
      </c>
      <c r="I11" s="56">
        <v>295</v>
      </c>
      <c r="J11" s="56">
        <v>3256</v>
      </c>
      <c r="K11" s="56">
        <v>63</v>
      </c>
    </row>
    <row r="12" spans="1:11" s="78" customFormat="1" ht="17.25" customHeight="1" x14ac:dyDescent="0.2">
      <c r="A12" s="2" t="s">
        <v>16</v>
      </c>
      <c r="B12" s="56">
        <f t="shared" si="1"/>
        <v>3336185</v>
      </c>
      <c r="C12" s="56">
        <f>411432+104509</f>
        <v>515941</v>
      </c>
      <c r="D12" s="56">
        <f>205634+373</f>
        <v>206007</v>
      </c>
      <c r="E12" s="56">
        <f>248491+167838</f>
        <v>416329</v>
      </c>
      <c r="F12" s="56">
        <f>583923+199095</f>
        <v>783018</v>
      </c>
      <c r="G12" s="56">
        <f>1280079+66439</f>
        <v>1346518</v>
      </c>
      <c r="H12" s="56">
        <f>12930+2086</f>
        <v>15016</v>
      </c>
      <c r="I12" s="56">
        <f>4998+63</f>
        <v>5061</v>
      </c>
      <c r="J12" s="56">
        <f>43254+4498</f>
        <v>47752</v>
      </c>
      <c r="K12" s="56">
        <f>519+24</f>
        <v>543</v>
      </c>
    </row>
    <row r="13" spans="1:11" s="78" customFormat="1" ht="17.25" customHeight="1" x14ac:dyDescent="0.2">
      <c r="A13" s="2" t="s">
        <v>68</v>
      </c>
      <c r="B13" s="56">
        <f t="shared" si="1"/>
        <v>1659203</v>
      </c>
      <c r="C13" s="56">
        <v>249007</v>
      </c>
      <c r="D13" s="56">
        <v>16258</v>
      </c>
      <c r="E13" s="56">
        <v>47946</v>
      </c>
      <c r="F13" s="56">
        <v>292539</v>
      </c>
      <c r="G13" s="56">
        <v>1049590</v>
      </c>
      <c r="H13" s="56">
        <v>348</v>
      </c>
      <c r="I13" s="56">
        <v>148</v>
      </c>
      <c r="J13" s="56">
        <v>2980</v>
      </c>
      <c r="K13" s="56">
        <v>387</v>
      </c>
    </row>
    <row r="14" spans="1:11" s="78" customFormat="1" ht="17.25" customHeight="1" x14ac:dyDescent="0.2">
      <c r="A14" s="2" t="s">
        <v>69</v>
      </c>
      <c r="B14" s="56">
        <f t="shared" si="1"/>
        <v>1402301</v>
      </c>
      <c r="C14" s="56">
        <v>232013</v>
      </c>
      <c r="D14" s="56">
        <v>4964</v>
      </c>
      <c r="E14" s="56">
        <v>91229</v>
      </c>
      <c r="F14" s="56">
        <v>352488</v>
      </c>
      <c r="G14" s="56">
        <v>713500</v>
      </c>
      <c r="H14" s="56">
        <v>237</v>
      </c>
      <c r="I14" s="56">
        <v>640</v>
      </c>
      <c r="J14" s="56">
        <v>4311</v>
      </c>
      <c r="K14" s="56">
        <v>2919</v>
      </c>
    </row>
    <row r="15" spans="1:11" s="78" customFormat="1" ht="17.25" customHeight="1" x14ac:dyDescent="0.2">
      <c r="A15" s="2" t="s">
        <v>9</v>
      </c>
      <c r="B15" s="56">
        <f t="shared" si="1"/>
        <v>604620</v>
      </c>
      <c r="C15" s="56">
        <v>70451</v>
      </c>
      <c r="D15" s="56">
        <v>9521</v>
      </c>
      <c r="E15" s="56">
        <v>8335</v>
      </c>
      <c r="F15" s="56">
        <v>90672</v>
      </c>
      <c r="G15" s="56">
        <v>415503</v>
      </c>
      <c r="H15" s="56">
        <v>312</v>
      </c>
      <c r="I15" s="18" t="s">
        <v>98</v>
      </c>
      <c r="J15" s="56">
        <v>9728</v>
      </c>
      <c r="K15" s="56">
        <v>98</v>
      </c>
    </row>
    <row r="16" spans="1:11" s="78" customFormat="1" ht="17.25" customHeight="1" x14ac:dyDescent="0.2">
      <c r="A16" s="2" t="s">
        <v>12</v>
      </c>
      <c r="B16" s="56">
        <f t="shared" si="1"/>
        <v>1165838</v>
      </c>
      <c r="C16" s="56">
        <v>130215</v>
      </c>
      <c r="D16" s="56">
        <v>106911</v>
      </c>
      <c r="E16" s="56">
        <v>6804</v>
      </c>
      <c r="F16" s="56">
        <v>215598</v>
      </c>
      <c r="G16" s="56">
        <v>683882</v>
      </c>
      <c r="H16" s="56">
        <v>845</v>
      </c>
      <c r="I16" s="56">
        <v>894</v>
      </c>
      <c r="J16" s="56">
        <v>20454</v>
      </c>
      <c r="K16" s="56">
        <v>235</v>
      </c>
    </row>
    <row r="17" spans="1:11" s="78" customFormat="1" ht="17.25" customHeight="1" x14ac:dyDescent="0.2">
      <c r="A17" s="2" t="s">
        <v>10</v>
      </c>
      <c r="B17" s="56">
        <f t="shared" si="1"/>
        <v>1213624</v>
      </c>
      <c r="C17" s="56">
        <v>212496</v>
      </c>
      <c r="D17" s="56">
        <v>2054</v>
      </c>
      <c r="E17" s="56">
        <v>33546</v>
      </c>
      <c r="F17" s="56">
        <v>291325</v>
      </c>
      <c r="G17" s="56">
        <v>652734</v>
      </c>
      <c r="H17" s="56">
        <v>2901</v>
      </c>
      <c r="I17" s="56">
        <v>60</v>
      </c>
      <c r="J17" s="56">
        <v>18450</v>
      </c>
      <c r="K17" s="56">
        <v>58</v>
      </c>
    </row>
    <row r="18" spans="1:11" s="78" customFormat="1" ht="17.25" customHeight="1" x14ac:dyDescent="0.2">
      <c r="A18" s="43" t="s">
        <v>76</v>
      </c>
      <c r="B18" s="56">
        <f t="shared" si="1"/>
        <v>2279171</v>
      </c>
      <c r="C18" s="18">
        <v>155817</v>
      </c>
      <c r="D18" s="18">
        <v>10274</v>
      </c>
      <c r="E18" s="18">
        <v>190478</v>
      </c>
      <c r="F18" s="18">
        <v>529147</v>
      </c>
      <c r="G18" s="18">
        <v>1317873</v>
      </c>
      <c r="H18" s="18">
        <v>826</v>
      </c>
      <c r="I18" s="18">
        <v>15092</v>
      </c>
      <c r="J18" s="18">
        <v>31448</v>
      </c>
      <c r="K18" s="18">
        <v>28216</v>
      </c>
    </row>
    <row r="19" spans="1:11" s="78" customFormat="1" ht="17.25" customHeight="1" x14ac:dyDescent="0.2">
      <c r="A19" s="2" t="s">
        <v>8</v>
      </c>
      <c r="B19" s="56">
        <f t="shared" si="1"/>
        <v>1528603</v>
      </c>
      <c r="C19" s="56">
        <f>174299+16367</f>
        <v>190666</v>
      </c>
      <c r="D19" s="56">
        <f>27277+261</f>
        <v>27538</v>
      </c>
      <c r="E19" s="56">
        <f>109040+6970</f>
        <v>116010</v>
      </c>
      <c r="F19" s="56">
        <f>293354+52457</f>
        <v>345811</v>
      </c>
      <c r="G19" s="56">
        <f>711525+110720</f>
        <v>822245</v>
      </c>
      <c r="H19" s="56">
        <f>2257+41</f>
        <v>2298</v>
      </c>
      <c r="I19" s="56">
        <f>407+0</f>
        <v>407</v>
      </c>
      <c r="J19" s="56">
        <f>22813+252</f>
        <v>23065</v>
      </c>
      <c r="K19" s="56">
        <f>539+24</f>
        <v>563</v>
      </c>
    </row>
    <row r="20" spans="1:11" s="78" customFormat="1" ht="17.25" customHeight="1" x14ac:dyDescent="0.2">
      <c r="A20" s="2" t="s">
        <v>15</v>
      </c>
      <c r="B20" s="56">
        <f t="shared" si="1"/>
        <v>1740666</v>
      </c>
      <c r="C20" s="56">
        <v>250910</v>
      </c>
      <c r="D20" s="56">
        <v>51163</v>
      </c>
      <c r="E20" s="56">
        <v>196510</v>
      </c>
      <c r="F20" s="56">
        <v>671353</v>
      </c>
      <c r="G20" s="56">
        <v>528544</v>
      </c>
      <c r="H20" s="56">
        <v>314</v>
      </c>
      <c r="I20" s="56">
        <v>7780</v>
      </c>
      <c r="J20" s="56">
        <v>29900</v>
      </c>
      <c r="K20" s="56">
        <v>4192</v>
      </c>
    </row>
    <row r="21" spans="1:11" s="78" customFormat="1" ht="17.25" customHeight="1" x14ac:dyDescent="0.2">
      <c r="A21" s="43" t="s">
        <v>77</v>
      </c>
      <c r="B21" s="56">
        <f t="shared" si="1"/>
        <v>1825192</v>
      </c>
      <c r="C21" s="18">
        <f>104330+121457</f>
        <v>225787</v>
      </c>
      <c r="D21" s="18">
        <f>1400+3171</f>
        <v>4571</v>
      </c>
      <c r="E21" s="18">
        <f>138380+76698</f>
        <v>215078</v>
      </c>
      <c r="F21" s="18">
        <f>204650+113588</f>
        <v>318238</v>
      </c>
      <c r="G21" s="18">
        <f>508730+530621</f>
        <v>1039351</v>
      </c>
      <c r="H21" s="18">
        <f>320+47</f>
        <v>367</v>
      </c>
      <c r="I21" s="18">
        <f>290+673</f>
        <v>963</v>
      </c>
      <c r="J21" s="18">
        <f>14560+3966</f>
        <v>18526</v>
      </c>
      <c r="K21" s="18">
        <f>1410+901</f>
        <v>2311</v>
      </c>
    </row>
    <row r="22" spans="1:11" s="78" customFormat="1" ht="17.25" customHeight="1" x14ac:dyDescent="0.2">
      <c r="A22" s="2" t="s">
        <v>19</v>
      </c>
      <c r="B22" s="56">
        <f t="shared" si="1"/>
        <v>1510819</v>
      </c>
      <c r="C22" s="56">
        <f>98550+64921</f>
        <v>163471</v>
      </c>
      <c r="D22" s="56">
        <f>3727+0</f>
        <v>3727</v>
      </c>
      <c r="E22" s="56">
        <f>48697+39421</f>
        <v>88118</v>
      </c>
      <c r="F22" s="56">
        <f>291711+105579</f>
        <v>397290</v>
      </c>
      <c r="G22" s="56">
        <f>686061+144387</f>
        <v>830448</v>
      </c>
      <c r="H22" s="56">
        <f>6748+467</f>
        <v>7215</v>
      </c>
      <c r="I22" s="56">
        <f>1227+18</f>
        <v>1245</v>
      </c>
      <c r="J22" s="56">
        <f>17311+1863</f>
        <v>19174</v>
      </c>
      <c r="K22" s="56">
        <f>122+9</f>
        <v>131</v>
      </c>
    </row>
    <row r="23" spans="1:11" s="78" customFormat="1" ht="17.25" customHeight="1" x14ac:dyDescent="0.2">
      <c r="A23" s="2" t="s">
        <v>24</v>
      </c>
      <c r="B23" s="56">
        <f t="shared" si="1"/>
        <v>419905</v>
      </c>
      <c r="C23" s="56">
        <v>74065</v>
      </c>
      <c r="D23" s="56">
        <v>19555</v>
      </c>
      <c r="E23" s="56">
        <v>5928</v>
      </c>
      <c r="F23" s="56">
        <v>64561</v>
      </c>
      <c r="G23" s="56">
        <v>253087</v>
      </c>
      <c r="H23" s="56">
        <v>81</v>
      </c>
      <c r="I23" s="56">
        <v>671</v>
      </c>
      <c r="J23" s="56">
        <v>1884</v>
      </c>
      <c r="K23" s="56">
        <v>73</v>
      </c>
    </row>
    <row r="24" spans="1:11" s="78" customFormat="1" ht="17.25" customHeight="1" x14ac:dyDescent="0.2">
      <c r="A24" s="2" t="s">
        <v>13</v>
      </c>
      <c r="B24" s="56">
        <f t="shared" si="1"/>
        <v>1840148</v>
      </c>
      <c r="C24" s="56">
        <v>181973</v>
      </c>
      <c r="D24" s="56">
        <v>191064</v>
      </c>
      <c r="E24" s="56">
        <v>86729</v>
      </c>
      <c r="F24" s="56">
        <v>316759</v>
      </c>
      <c r="G24" s="56">
        <v>1013587</v>
      </c>
      <c r="H24" s="56">
        <v>1676</v>
      </c>
      <c r="I24" s="56">
        <v>7906</v>
      </c>
      <c r="J24" s="56">
        <v>36061</v>
      </c>
      <c r="K24" s="56">
        <v>4393</v>
      </c>
    </row>
    <row r="25" spans="1:11" s="78" customFormat="1" ht="17.25" customHeight="1" x14ac:dyDescent="0.2">
      <c r="A25" s="2" t="s">
        <v>6</v>
      </c>
      <c r="B25" s="56">
        <f t="shared" si="1"/>
        <v>2206644</v>
      </c>
      <c r="C25" s="56">
        <v>247445</v>
      </c>
      <c r="D25" s="56">
        <v>115841</v>
      </c>
      <c r="E25" s="56">
        <v>51595</v>
      </c>
      <c r="F25" s="56">
        <v>201333</v>
      </c>
      <c r="G25" s="56">
        <v>1570945</v>
      </c>
      <c r="H25" s="56">
        <v>2436</v>
      </c>
      <c r="I25" s="56">
        <v>1595</v>
      </c>
      <c r="J25" s="56">
        <v>14288</v>
      </c>
      <c r="K25" s="56">
        <v>1166</v>
      </c>
    </row>
    <row r="26" spans="1:11" s="78" customFormat="1" ht="17.25" customHeight="1" x14ac:dyDescent="0.2">
      <c r="A26" s="43" t="s">
        <v>78</v>
      </c>
      <c r="B26" s="56">
        <f t="shared" si="1"/>
        <v>1798951</v>
      </c>
      <c r="C26" s="18">
        <v>232544</v>
      </c>
      <c r="D26" s="18">
        <v>3439</v>
      </c>
      <c r="E26" s="18">
        <v>133887</v>
      </c>
      <c r="F26" s="18">
        <v>378245</v>
      </c>
      <c r="G26" s="18">
        <v>1031552</v>
      </c>
      <c r="H26" s="18">
        <v>431</v>
      </c>
      <c r="I26" s="18">
        <v>221</v>
      </c>
      <c r="J26" s="18">
        <v>18178</v>
      </c>
      <c r="K26" s="18">
        <v>454</v>
      </c>
    </row>
    <row r="27" spans="1:11" s="78" customFormat="1" ht="17.25" customHeight="1" x14ac:dyDescent="0.2">
      <c r="A27" s="43" t="s">
        <v>80</v>
      </c>
      <c r="B27" s="56">
        <f t="shared" si="1"/>
        <v>1043140</v>
      </c>
      <c r="C27" s="18">
        <v>210480</v>
      </c>
      <c r="D27" s="18">
        <v>18716</v>
      </c>
      <c r="E27" s="18">
        <v>23356</v>
      </c>
      <c r="F27" s="18">
        <v>263979</v>
      </c>
      <c r="G27" s="18">
        <v>505521</v>
      </c>
      <c r="H27" s="18">
        <v>2746</v>
      </c>
      <c r="I27" s="18">
        <v>1080</v>
      </c>
      <c r="J27" s="18">
        <v>16826</v>
      </c>
      <c r="K27" s="18">
        <v>436</v>
      </c>
    </row>
    <row r="28" spans="1:11" s="78" customFormat="1" ht="17.25" customHeight="1" x14ac:dyDescent="0.2">
      <c r="A28" s="2" t="s">
        <v>4</v>
      </c>
      <c r="B28" s="56">
        <f t="shared" si="1"/>
        <v>1483696</v>
      </c>
      <c r="C28" s="56">
        <v>190669</v>
      </c>
      <c r="D28" s="56">
        <v>106892</v>
      </c>
      <c r="E28" s="56">
        <v>70046</v>
      </c>
      <c r="F28" s="56">
        <v>197442</v>
      </c>
      <c r="G28" s="56">
        <v>897028</v>
      </c>
      <c r="H28" s="56">
        <v>729</v>
      </c>
      <c r="I28" s="56">
        <v>5131</v>
      </c>
      <c r="J28" s="56">
        <v>14804</v>
      </c>
      <c r="K28" s="56">
        <v>955</v>
      </c>
    </row>
    <row r="29" spans="1:11" s="78" customFormat="1" ht="17.25" customHeight="1" x14ac:dyDescent="0.2">
      <c r="A29" s="43" t="s">
        <v>79</v>
      </c>
      <c r="B29" s="56">
        <f t="shared" si="1"/>
        <v>600788</v>
      </c>
      <c r="C29" s="18">
        <v>64336</v>
      </c>
      <c r="D29" s="18">
        <v>12979</v>
      </c>
      <c r="E29" s="18">
        <v>48202</v>
      </c>
      <c r="F29" s="18">
        <v>107932</v>
      </c>
      <c r="G29" s="18">
        <v>350735</v>
      </c>
      <c r="H29" s="18">
        <v>250</v>
      </c>
      <c r="I29" s="18">
        <v>190</v>
      </c>
      <c r="J29" s="18">
        <v>13390</v>
      </c>
      <c r="K29" s="18">
        <v>2774</v>
      </c>
    </row>
    <row r="30" spans="1:11" s="77" customFormat="1" ht="17.25" customHeight="1" x14ac:dyDescent="0.2">
      <c r="A30" s="2" t="s">
        <v>3</v>
      </c>
      <c r="B30" s="56">
        <f t="shared" si="1"/>
        <v>3059283</v>
      </c>
      <c r="C30" s="56">
        <f>223150+22803</f>
        <v>245953</v>
      </c>
      <c r="D30" s="56">
        <f>143481+345</f>
        <v>143826</v>
      </c>
      <c r="E30" s="56">
        <f>67204+24477</f>
        <v>91681</v>
      </c>
      <c r="F30" s="56">
        <f>265272+115838</f>
        <v>381110</v>
      </c>
      <c r="G30" s="56">
        <f>1936581+215096</f>
        <v>2151677</v>
      </c>
      <c r="H30" s="56">
        <f>684+236</f>
        <v>920</v>
      </c>
      <c r="I30" s="56">
        <f>6205+79</f>
        <v>6284</v>
      </c>
      <c r="J30" s="56">
        <f>35262+2097</f>
        <v>37359</v>
      </c>
      <c r="K30" s="56">
        <f>473+0</f>
        <v>473</v>
      </c>
    </row>
    <row r="31" spans="1:11" s="78" customFormat="1" ht="17.25" customHeight="1" x14ac:dyDescent="0.2">
      <c r="A31" s="43" t="s">
        <v>81</v>
      </c>
      <c r="B31" s="56">
        <f t="shared" si="1"/>
        <v>1393096</v>
      </c>
      <c r="C31" s="18">
        <v>134611</v>
      </c>
      <c r="D31" s="18">
        <v>14677</v>
      </c>
      <c r="E31" s="18">
        <v>313639</v>
      </c>
      <c r="F31" s="18">
        <v>399137</v>
      </c>
      <c r="G31" s="18">
        <v>496924</v>
      </c>
      <c r="H31" s="18">
        <v>9356</v>
      </c>
      <c r="I31" s="18">
        <v>314</v>
      </c>
      <c r="J31" s="18">
        <v>23022</v>
      </c>
      <c r="K31" s="18">
        <v>1416</v>
      </c>
    </row>
    <row r="32" spans="1:11" s="77" customFormat="1" ht="17.25" customHeight="1" x14ac:dyDescent="0.2">
      <c r="A32" s="2" t="s">
        <v>22</v>
      </c>
      <c r="B32" s="56">
        <f t="shared" si="1"/>
        <v>1595145</v>
      </c>
      <c r="C32" s="56">
        <v>204946</v>
      </c>
      <c r="D32" s="56">
        <v>129041</v>
      </c>
      <c r="E32" s="56">
        <v>59480</v>
      </c>
      <c r="F32" s="56">
        <v>289828</v>
      </c>
      <c r="G32" s="56">
        <v>896029</v>
      </c>
      <c r="H32" s="56">
        <v>306</v>
      </c>
      <c r="I32" s="56">
        <v>2847</v>
      </c>
      <c r="J32" s="56">
        <v>8210</v>
      </c>
      <c r="K32" s="56">
        <v>4458</v>
      </c>
    </row>
    <row r="33" spans="1:11" s="78" customFormat="1" ht="17.25" customHeight="1" x14ac:dyDescent="0.2">
      <c r="A33" s="2" t="s">
        <v>7</v>
      </c>
      <c r="B33" s="56">
        <f t="shared" si="1"/>
        <v>1674393</v>
      </c>
      <c r="C33" s="56">
        <v>203076</v>
      </c>
      <c r="D33" s="56">
        <v>103566</v>
      </c>
      <c r="E33" s="56">
        <v>14866</v>
      </c>
      <c r="F33" s="56">
        <v>163700</v>
      </c>
      <c r="G33" s="56">
        <v>1158090</v>
      </c>
      <c r="H33" s="56">
        <v>592</v>
      </c>
      <c r="I33" s="56">
        <v>4034</v>
      </c>
      <c r="J33" s="56">
        <v>25983</v>
      </c>
      <c r="K33" s="56">
        <v>486</v>
      </c>
    </row>
    <row r="34" spans="1:11" s="78" customFormat="1" ht="17.25" customHeight="1" x14ac:dyDescent="0.2">
      <c r="A34" s="2" t="s">
        <v>21</v>
      </c>
      <c r="B34" s="56">
        <f t="shared" si="1"/>
        <v>1854532</v>
      </c>
      <c r="C34" s="56">
        <v>253790</v>
      </c>
      <c r="D34" s="56">
        <v>117101</v>
      </c>
      <c r="E34" s="56">
        <v>80048</v>
      </c>
      <c r="F34" s="56">
        <v>236229</v>
      </c>
      <c r="G34" s="56">
        <v>1141678</v>
      </c>
      <c r="H34" s="56">
        <v>256</v>
      </c>
      <c r="I34" s="56">
        <v>4833</v>
      </c>
      <c r="J34" s="56">
        <v>17577</v>
      </c>
      <c r="K34" s="56">
        <v>3020</v>
      </c>
    </row>
    <row r="35" spans="1:11" s="78" customFormat="1" ht="17.25" customHeight="1" x14ac:dyDescent="0.2">
      <c r="A35" s="2" t="s">
        <v>17</v>
      </c>
      <c r="B35" s="56">
        <f t="shared" si="1"/>
        <v>933557</v>
      </c>
      <c r="C35" s="56">
        <f>67104+50926</f>
        <v>118030</v>
      </c>
      <c r="D35" s="56">
        <f>17975+856</f>
        <v>18831</v>
      </c>
      <c r="E35" s="56">
        <f>77952+107443</f>
        <v>185395</v>
      </c>
      <c r="F35" s="56">
        <f>120668+110207</f>
        <v>230875</v>
      </c>
      <c r="G35" s="56">
        <f>209768+145171</f>
        <v>354939</v>
      </c>
      <c r="H35" s="56">
        <f>3814+3970</f>
        <v>7784</v>
      </c>
      <c r="I35" s="56">
        <f>876+73</f>
        <v>949</v>
      </c>
      <c r="J35" s="56">
        <f>10464+6147</f>
        <v>16611</v>
      </c>
      <c r="K35" s="56">
        <f>110+33</f>
        <v>143</v>
      </c>
    </row>
    <row r="36" spans="1:11" s="78" customFormat="1" ht="17.25" customHeight="1" x14ac:dyDescent="0.2">
      <c r="A36" s="2" t="s">
        <v>67</v>
      </c>
      <c r="B36" s="56">
        <f t="shared" si="1"/>
        <v>260640</v>
      </c>
      <c r="C36" s="18">
        <v>32724</v>
      </c>
      <c r="D36" s="18">
        <v>32517</v>
      </c>
      <c r="E36" s="18">
        <v>15480</v>
      </c>
      <c r="F36" s="18">
        <v>75681</v>
      </c>
      <c r="G36" s="18">
        <v>97803</v>
      </c>
      <c r="H36" s="18">
        <v>90</v>
      </c>
      <c r="I36" s="18">
        <v>36</v>
      </c>
      <c r="J36" s="18">
        <v>4959</v>
      </c>
      <c r="K36" s="18">
        <v>1350</v>
      </c>
    </row>
    <row r="37" spans="1:11" s="38" customFormat="1" ht="13.15" customHeight="1" x14ac:dyDescent="0.2">
      <c r="A37" s="8"/>
      <c r="B37" s="15"/>
      <c r="C37" s="15"/>
      <c r="D37" s="15"/>
      <c r="E37" s="15"/>
      <c r="F37" s="15"/>
      <c r="G37" s="15"/>
      <c r="H37" s="15"/>
      <c r="I37" s="15"/>
      <c r="J37" s="15"/>
      <c r="K37" s="15"/>
    </row>
    <row r="38" spans="1:11" s="38" customFormat="1" ht="13.15" customHeight="1" x14ac:dyDescent="0.2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3" t="s">
        <v>73</v>
      </c>
    </row>
    <row r="39" spans="1:11" x14ac:dyDescent="0.2">
      <c r="A39" s="12"/>
      <c r="B39" s="12"/>
      <c r="C39" s="12"/>
      <c r="D39" s="40"/>
      <c r="E39" s="11"/>
      <c r="F39" s="12"/>
      <c r="G39" s="57"/>
      <c r="H39" s="57"/>
      <c r="I39" s="57"/>
      <c r="J39" s="57"/>
      <c r="K39" s="57"/>
    </row>
  </sheetData>
  <sortState ref="A5:K36">
    <sortCondition ref="A5:A36"/>
  </sortState>
  <mergeCells count="2">
    <mergeCell ref="A1:K1"/>
    <mergeCell ref="J2:K2"/>
  </mergeCells>
  <phoneticPr fontId="0" type="noConversion"/>
  <printOptions horizontalCentered="1"/>
  <pageMargins left="0.35002" right="0.35433070866141703" top="0.98425196850393704" bottom="0.98425196850393704" header="0.511811023622047" footer="0.511811023622047"/>
  <pageSetup paperSize="9" orientation="portrait" r:id="rId1"/>
  <headerFooter alignWithMargins="0"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38"/>
  <sheetViews>
    <sheetView view="pageBreakPreview" zoomScaleNormal="100" zoomScaleSheetLayoutView="100" workbookViewId="0">
      <selection activeCell="E2" sqref="E2"/>
    </sheetView>
  </sheetViews>
  <sheetFormatPr defaultRowHeight="12.75" x14ac:dyDescent="0.2"/>
  <cols>
    <col min="1" max="1" width="14.140625" customWidth="1"/>
    <col min="2" max="2" width="14" customWidth="1"/>
    <col min="3" max="5" width="19" customWidth="1"/>
  </cols>
  <sheetData>
    <row r="1" spans="1:11" ht="75" customHeight="1" x14ac:dyDescent="0.2">
      <c r="A1" s="86" t="s">
        <v>102</v>
      </c>
      <c r="B1" s="86"/>
      <c r="C1" s="86"/>
      <c r="D1" s="86"/>
      <c r="E1" s="86"/>
      <c r="F1" s="79"/>
      <c r="G1" s="79"/>
      <c r="H1" s="79"/>
      <c r="I1" s="79"/>
      <c r="J1" s="79"/>
      <c r="K1" s="79"/>
    </row>
    <row r="2" spans="1:11" s="1" customFormat="1" ht="12.75" customHeight="1" x14ac:dyDescent="0.2">
      <c r="A2" s="19" t="s">
        <v>100</v>
      </c>
      <c r="B2" s="28"/>
      <c r="C2" s="28"/>
      <c r="D2" s="28"/>
      <c r="E2" s="83" t="s">
        <v>83</v>
      </c>
    </row>
    <row r="3" spans="1:11" s="1" customFormat="1" ht="20.100000000000001" customHeight="1" x14ac:dyDescent="0.2">
      <c r="A3" s="115" t="s">
        <v>0</v>
      </c>
      <c r="B3" s="98" t="s">
        <v>94</v>
      </c>
      <c r="C3" s="98"/>
      <c r="D3" s="98"/>
      <c r="E3" s="98"/>
    </row>
    <row r="4" spans="1:11" s="1" customFormat="1" ht="38.25" x14ac:dyDescent="0.2">
      <c r="A4" s="116"/>
      <c r="B4" s="82" t="s">
        <v>84</v>
      </c>
      <c r="C4" s="82" t="s">
        <v>95</v>
      </c>
      <c r="D4" s="82" t="s">
        <v>97</v>
      </c>
      <c r="E4" s="82" t="s">
        <v>96</v>
      </c>
    </row>
    <row r="5" spans="1:11" s="1" customFormat="1" ht="25.5" x14ac:dyDescent="0.2">
      <c r="A5" s="20" t="s">
        <v>63</v>
      </c>
      <c r="B5" s="21">
        <f t="shared" ref="B5" si="0">SUM(B6:B37)</f>
        <v>184267</v>
      </c>
      <c r="C5" s="17">
        <f>SUM(C6:C37)</f>
        <v>212884</v>
      </c>
      <c r="D5" s="17">
        <f>SUM(D6:D37)</f>
        <v>24803</v>
      </c>
      <c r="E5" s="17">
        <f>SUM(E6:E37)</f>
        <v>1234666</v>
      </c>
    </row>
    <row r="6" spans="1:11" s="80" customFormat="1" ht="16.5" customHeight="1" x14ac:dyDescent="0.2">
      <c r="A6" s="22" t="s">
        <v>11</v>
      </c>
      <c r="B6" s="33">
        <v>13092</v>
      </c>
      <c r="C6" s="33">
        <v>9985</v>
      </c>
      <c r="D6" s="33">
        <v>104</v>
      </c>
      <c r="E6" s="33">
        <v>148000</v>
      </c>
    </row>
    <row r="7" spans="1:11" s="80" customFormat="1" ht="16.5" customHeight="1" x14ac:dyDescent="0.2">
      <c r="A7" s="23" t="s">
        <v>75</v>
      </c>
      <c r="B7" s="33" t="s">
        <v>98</v>
      </c>
      <c r="C7" s="33" t="s">
        <v>98</v>
      </c>
      <c r="D7" s="33" t="s">
        <v>98</v>
      </c>
      <c r="E7" s="33" t="s">
        <v>98</v>
      </c>
    </row>
    <row r="8" spans="1:11" s="80" customFormat="1" ht="16.5" customHeight="1" x14ac:dyDescent="0.2">
      <c r="A8" s="22" t="s">
        <v>18</v>
      </c>
      <c r="B8" s="33">
        <v>5305</v>
      </c>
      <c r="C8" s="33">
        <v>8894</v>
      </c>
      <c r="D8" s="33">
        <v>5300</v>
      </c>
      <c r="E8" s="33">
        <v>70200</v>
      </c>
    </row>
    <row r="9" spans="1:11" s="80" customFormat="1" ht="16.5" customHeight="1" x14ac:dyDescent="0.2">
      <c r="A9" s="22" t="s">
        <v>14</v>
      </c>
      <c r="B9" s="33">
        <v>4361</v>
      </c>
      <c r="C9" s="33">
        <v>6790</v>
      </c>
      <c r="D9" s="33" t="s">
        <v>98</v>
      </c>
      <c r="E9" s="33">
        <v>88200</v>
      </c>
    </row>
    <row r="10" spans="1:11" s="80" customFormat="1" ht="16.5" customHeight="1" x14ac:dyDescent="0.2">
      <c r="A10" s="22" t="s">
        <v>23</v>
      </c>
      <c r="B10" s="33">
        <v>1832</v>
      </c>
      <c r="C10" s="33">
        <v>1067</v>
      </c>
      <c r="D10" s="33">
        <v>1476</v>
      </c>
      <c r="E10" s="33">
        <v>19950</v>
      </c>
    </row>
    <row r="11" spans="1:11" s="80" customFormat="1" ht="16.5" customHeight="1" x14ac:dyDescent="0.2">
      <c r="A11" s="22" t="s">
        <v>5</v>
      </c>
      <c r="B11" s="33">
        <v>4520</v>
      </c>
      <c r="C11" s="33">
        <v>6060</v>
      </c>
      <c r="D11" s="33">
        <v>2720</v>
      </c>
      <c r="E11" s="33">
        <v>21000</v>
      </c>
    </row>
    <row r="12" spans="1:11" s="80" customFormat="1" ht="16.5" customHeight="1" x14ac:dyDescent="0.2">
      <c r="A12" s="22" t="s">
        <v>20</v>
      </c>
      <c r="B12" s="33">
        <v>5360</v>
      </c>
      <c r="C12" s="33">
        <v>6600</v>
      </c>
      <c r="D12" s="33" t="s">
        <v>98</v>
      </c>
      <c r="E12" s="33">
        <v>15100</v>
      </c>
    </row>
    <row r="13" spans="1:11" s="80" customFormat="1" ht="16.5" customHeight="1" x14ac:dyDescent="0.2">
      <c r="A13" s="22" t="s">
        <v>16</v>
      </c>
      <c r="B13" s="33">
        <v>6622</v>
      </c>
      <c r="C13" s="33">
        <v>13774</v>
      </c>
      <c r="D13" s="33">
        <v>410</v>
      </c>
      <c r="E13" s="33">
        <v>68100</v>
      </c>
    </row>
    <row r="14" spans="1:11" s="80" customFormat="1" ht="16.5" customHeight="1" x14ac:dyDescent="0.2">
      <c r="A14" s="22" t="s">
        <v>68</v>
      </c>
      <c r="B14" s="33">
        <v>9770</v>
      </c>
      <c r="C14" s="33">
        <v>15360</v>
      </c>
      <c r="D14" s="33">
        <v>100</v>
      </c>
      <c r="E14" s="33">
        <v>52000</v>
      </c>
    </row>
    <row r="15" spans="1:11" s="80" customFormat="1" ht="16.5" customHeight="1" x14ac:dyDescent="0.2">
      <c r="A15" s="22" t="s">
        <v>69</v>
      </c>
      <c r="B15" s="33">
        <v>4125</v>
      </c>
      <c r="C15" s="33">
        <v>10585</v>
      </c>
      <c r="D15" s="33" t="s">
        <v>98</v>
      </c>
      <c r="E15" s="33">
        <v>31500</v>
      </c>
    </row>
    <row r="16" spans="1:11" s="80" customFormat="1" ht="16.5" customHeight="1" x14ac:dyDescent="0.2">
      <c r="A16" s="22" t="s">
        <v>9</v>
      </c>
      <c r="B16" s="33" t="s">
        <v>98</v>
      </c>
      <c r="C16" s="33" t="s">
        <v>98</v>
      </c>
      <c r="D16" s="33" t="s">
        <v>98</v>
      </c>
      <c r="E16" s="33" t="s">
        <v>98</v>
      </c>
    </row>
    <row r="17" spans="1:5" s="80" customFormat="1" ht="16.5" customHeight="1" x14ac:dyDescent="0.2">
      <c r="A17" s="22" t="s">
        <v>12</v>
      </c>
      <c r="B17" s="33">
        <v>13652</v>
      </c>
      <c r="C17" s="33">
        <v>7636</v>
      </c>
      <c r="D17" s="33">
        <v>865</v>
      </c>
      <c r="E17" s="33">
        <v>85000</v>
      </c>
    </row>
    <row r="18" spans="1:5" s="80" customFormat="1" ht="16.5" customHeight="1" x14ac:dyDescent="0.2">
      <c r="A18" s="22" t="s">
        <v>10</v>
      </c>
      <c r="B18" s="33">
        <v>7290</v>
      </c>
      <c r="C18" s="33">
        <v>11472</v>
      </c>
      <c r="D18" s="33">
        <v>2210</v>
      </c>
      <c r="E18" s="33">
        <v>47116</v>
      </c>
    </row>
    <row r="19" spans="1:5" s="80" customFormat="1" ht="16.5" customHeight="1" x14ac:dyDescent="0.2">
      <c r="A19" s="23" t="s">
        <v>76</v>
      </c>
      <c r="B19" s="33" t="s">
        <v>98</v>
      </c>
      <c r="C19" s="33" t="s">
        <v>98</v>
      </c>
      <c r="D19" s="33" t="s">
        <v>98</v>
      </c>
      <c r="E19" s="33" t="s">
        <v>98</v>
      </c>
    </row>
    <row r="20" spans="1:5" s="80" customFormat="1" ht="16.5" customHeight="1" x14ac:dyDescent="0.2">
      <c r="A20" s="22" t="s">
        <v>8</v>
      </c>
      <c r="B20" s="33">
        <v>5610</v>
      </c>
      <c r="C20" s="33">
        <v>7580</v>
      </c>
      <c r="D20" s="33">
        <v>520</v>
      </c>
      <c r="E20" s="33">
        <v>25000</v>
      </c>
    </row>
    <row r="21" spans="1:5" s="80" customFormat="1" ht="16.5" customHeight="1" x14ac:dyDescent="0.2">
      <c r="A21" s="22" t="s">
        <v>15</v>
      </c>
      <c r="B21" s="33">
        <v>4525</v>
      </c>
      <c r="C21" s="33">
        <v>4275</v>
      </c>
      <c r="D21" s="33" t="s">
        <v>98</v>
      </c>
      <c r="E21" s="33" t="s">
        <v>98</v>
      </c>
    </row>
    <row r="22" spans="1:5" s="80" customFormat="1" ht="16.5" customHeight="1" x14ac:dyDescent="0.2">
      <c r="A22" s="23" t="s">
        <v>77</v>
      </c>
      <c r="B22" s="33" t="s">
        <v>98</v>
      </c>
      <c r="C22" s="33" t="s">
        <v>98</v>
      </c>
      <c r="D22" s="33" t="s">
        <v>98</v>
      </c>
      <c r="E22" s="33" t="s">
        <v>98</v>
      </c>
    </row>
    <row r="23" spans="1:5" s="80" customFormat="1" ht="16.5" customHeight="1" x14ac:dyDescent="0.2">
      <c r="A23" s="22" t="s">
        <v>19</v>
      </c>
      <c r="B23" s="33">
        <v>6013</v>
      </c>
      <c r="C23" s="33">
        <v>11305</v>
      </c>
      <c r="D23" s="33">
        <v>2840</v>
      </c>
      <c r="E23" s="33">
        <v>43400</v>
      </c>
    </row>
    <row r="24" spans="1:5" s="80" customFormat="1" ht="16.5" customHeight="1" x14ac:dyDescent="0.2">
      <c r="A24" s="22" t="s">
        <v>24</v>
      </c>
      <c r="B24" s="33">
        <v>9280</v>
      </c>
      <c r="C24" s="33">
        <v>5250</v>
      </c>
      <c r="D24" s="33" t="s">
        <v>98</v>
      </c>
      <c r="E24" s="33">
        <v>42500</v>
      </c>
    </row>
    <row r="25" spans="1:5" s="80" customFormat="1" ht="16.5" customHeight="1" x14ac:dyDescent="0.2">
      <c r="A25" s="22" t="s">
        <v>13</v>
      </c>
      <c r="B25" s="33">
        <v>8472</v>
      </c>
      <c r="C25" s="33">
        <v>7040</v>
      </c>
      <c r="D25" s="33">
        <v>492</v>
      </c>
      <c r="E25" s="33">
        <v>179300</v>
      </c>
    </row>
    <row r="26" spans="1:5" s="80" customFormat="1" ht="16.5" customHeight="1" x14ac:dyDescent="0.2">
      <c r="A26" s="22" t="s">
        <v>6</v>
      </c>
      <c r="B26" s="33">
        <v>11414</v>
      </c>
      <c r="C26" s="33">
        <v>9380</v>
      </c>
      <c r="D26" s="33">
        <v>572</v>
      </c>
      <c r="E26" s="33">
        <v>61000</v>
      </c>
    </row>
    <row r="27" spans="1:5" s="80" customFormat="1" ht="16.5" customHeight="1" x14ac:dyDescent="0.2">
      <c r="A27" s="23" t="s">
        <v>78</v>
      </c>
      <c r="B27" s="33" t="s">
        <v>98</v>
      </c>
      <c r="C27" s="33" t="s">
        <v>98</v>
      </c>
      <c r="D27" s="33" t="s">
        <v>98</v>
      </c>
      <c r="E27" s="33" t="s">
        <v>98</v>
      </c>
    </row>
    <row r="28" spans="1:5" s="80" customFormat="1" ht="16.5" customHeight="1" x14ac:dyDescent="0.2">
      <c r="A28" s="23" t="s">
        <v>80</v>
      </c>
      <c r="B28" s="33" t="s">
        <v>98</v>
      </c>
      <c r="C28" s="33" t="s">
        <v>98</v>
      </c>
      <c r="D28" s="33" t="s">
        <v>98</v>
      </c>
      <c r="E28" s="33" t="s">
        <v>98</v>
      </c>
    </row>
    <row r="29" spans="1:5" s="80" customFormat="1" ht="16.5" customHeight="1" x14ac:dyDescent="0.2">
      <c r="A29" s="22" t="s">
        <v>4</v>
      </c>
      <c r="B29" s="33">
        <v>2457</v>
      </c>
      <c r="C29" s="33">
        <v>2828</v>
      </c>
      <c r="D29" s="33">
        <v>830</v>
      </c>
      <c r="E29" s="33">
        <v>3000</v>
      </c>
    </row>
    <row r="30" spans="1:5" s="80" customFormat="1" ht="16.5" customHeight="1" x14ac:dyDescent="0.2">
      <c r="A30" s="23" t="s">
        <v>79</v>
      </c>
      <c r="B30" s="33" t="s">
        <v>98</v>
      </c>
      <c r="C30" s="33" t="s">
        <v>98</v>
      </c>
      <c r="D30" s="33" t="s">
        <v>98</v>
      </c>
      <c r="E30" s="33" t="s">
        <v>98</v>
      </c>
    </row>
    <row r="31" spans="1:5" s="80" customFormat="1" ht="16.5" customHeight="1" x14ac:dyDescent="0.2">
      <c r="A31" s="22" t="s">
        <v>3</v>
      </c>
      <c r="B31" s="33">
        <v>7225</v>
      </c>
      <c r="C31" s="33">
        <v>8454</v>
      </c>
      <c r="D31" s="33">
        <v>1630</v>
      </c>
      <c r="E31" s="33">
        <v>33000</v>
      </c>
    </row>
    <row r="32" spans="1:5" s="80" customFormat="1" ht="16.5" customHeight="1" x14ac:dyDescent="0.2">
      <c r="A32" s="23" t="s">
        <v>81</v>
      </c>
      <c r="B32" s="33" t="s">
        <v>98</v>
      </c>
      <c r="C32" s="33" t="s">
        <v>98</v>
      </c>
      <c r="D32" s="33" t="s">
        <v>98</v>
      </c>
      <c r="E32" s="33" t="s">
        <v>98</v>
      </c>
    </row>
    <row r="33" spans="1:5" s="80" customFormat="1" ht="16.5" customHeight="1" x14ac:dyDescent="0.2">
      <c r="A33" s="22" t="s">
        <v>22</v>
      </c>
      <c r="B33" s="33">
        <v>22901</v>
      </c>
      <c r="C33" s="33">
        <v>935</v>
      </c>
      <c r="D33" s="33">
        <v>251</v>
      </c>
      <c r="E33" s="33">
        <v>48600</v>
      </c>
    </row>
    <row r="34" spans="1:5" s="80" customFormat="1" ht="16.5" customHeight="1" x14ac:dyDescent="0.2">
      <c r="A34" s="22" t="s">
        <v>7</v>
      </c>
      <c r="B34" s="33">
        <v>4270</v>
      </c>
      <c r="C34" s="33">
        <v>10310</v>
      </c>
      <c r="D34" s="33">
        <v>2755</v>
      </c>
      <c r="E34" s="33">
        <v>35500</v>
      </c>
    </row>
    <row r="35" spans="1:5" s="80" customFormat="1" ht="16.5" customHeight="1" x14ac:dyDescent="0.2">
      <c r="A35" s="22" t="s">
        <v>21</v>
      </c>
      <c r="B35" s="33">
        <v>11590</v>
      </c>
      <c r="C35" s="33">
        <v>27020</v>
      </c>
      <c r="D35" s="33">
        <v>1122</v>
      </c>
      <c r="E35" s="33">
        <v>31200</v>
      </c>
    </row>
    <row r="36" spans="1:5" s="80" customFormat="1" ht="16.5" customHeight="1" x14ac:dyDescent="0.2">
      <c r="A36" s="22" t="s">
        <v>17</v>
      </c>
      <c r="B36" s="33">
        <v>7780</v>
      </c>
      <c r="C36" s="33">
        <v>14280</v>
      </c>
      <c r="D36" s="33">
        <v>518</v>
      </c>
      <c r="E36" s="33">
        <v>14000</v>
      </c>
    </row>
    <row r="37" spans="1:5" s="80" customFormat="1" ht="16.5" customHeight="1" x14ac:dyDescent="0.2">
      <c r="A37" s="22" t="s">
        <v>67</v>
      </c>
      <c r="B37" s="33">
        <v>6801</v>
      </c>
      <c r="C37" s="33">
        <v>6004</v>
      </c>
      <c r="D37" s="33">
        <v>88</v>
      </c>
      <c r="E37" s="33">
        <v>72000</v>
      </c>
    </row>
    <row r="38" spans="1:5" ht="21.75" customHeight="1" x14ac:dyDescent="0.2">
      <c r="E38" s="13" t="s">
        <v>73</v>
      </c>
    </row>
  </sheetData>
  <sortState ref="A6:E37">
    <sortCondition ref="A6:A37"/>
  </sortState>
  <mergeCells count="3">
    <mergeCell ref="A3:A4"/>
    <mergeCell ref="B3:E3"/>
    <mergeCell ref="A1:E1"/>
  </mergeCells>
  <printOptions horizontalCentered="1"/>
  <pageMargins left="0.74803149606299202" right="0.74803149606299202" top="0.98425196850393704" bottom="0.98425196850393704" header="0.511811023622047" footer="0.511811023622047"/>
  <pageSetup paperSize="9" orientation="portrait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Table 1</vt:lpstr>
      <vt:lpstr>Table 2</vt:lpstr>
      <vt:lpstr>Table 3</vt:lpstr>
      <vt:lpstr>Table 4</vt:lpstr>
      <vt:lpstr>Table 5-8</vt:lpstr>
      <vt:lpstr>Table 9-10</vt:lpstr>
      <vt:lpstr>Table 11</vt:lpstr>
      <vt:lpstr>Table 12</vt:lpstr>
      <vt:lpstr>'Table 1'!Print_Area</vt:lpstr>
      <vt:lpstr>'Table 11'!Print_Area</vt:lpstr>
      <vt:lpstr>'Table 12'!Print_Area</vt:lpstr>
      <vt:lpstr>'Table 2'!Print_Area</vt:lpstr>
      <vt:lpstr>'Table 3'!Print_Area</vt:lpstr>
      <vt:lpstr>'Table 5-8'!Print_Area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Unicef</dc:creator>
  <cp:lastModifiedBy>Saqib</cp:lastModifiedBy>
  <cp:lastPrinted>2021-08-06T07:07:49Z</cp:lastPrinted>
  <dcterms:created xsi:type="dcterms:W3CDTF">2002-08-19T08:12:43Z</dcterms:created>
  <dcterms:modified xsi:type="dcterms:W3CDTF">2021-08-06T07:08:04Z</dcterms:modified>
</cp:coreProperties>
</file>