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Energy DS 2021\"/>
    </mc:Choice>
  </mc:AlternateContent>
  <bookViews>
    <workbookView xWindow="-120" yWindow="-120" windowWidth="29040" windowHeight="15840" tabRatio="601" activeTab="2"/>
  </bookViews>
  <sheets>
    <sheet name="Table 113" sheetId="10" r:id="rId1"/>
    <sheet name="Table 114" sheetId="18" r:id="rId2"/>
    <sheet name="Table 115" sheetId="2" r:id="rId3"/>
    <sheet name="Table116" sheetId="11" r:id="rId4"/>
    <sheet name="Table117" sheetId="19" r:id="rId5"/>
    <sheet name="Table 118" sheetId="8" r:id="rId6"/>
    <sheet name="Table 119" sheetId="6" r:id="rId7"/>
    <sheet name="Table 120" sheetId="7" r:id="rId8"/>
    <sheet name="Table 121" sheetId="15" r:id="rId9"/>
    <sheet name="Table 122" sheetId="17" r:id="rId10"/>
  </sheets>
  <definedNames>
    <definedName name="_xlnm.Print_Area" localSheetId="0">'Table 113'!$A$1:$G$39</definedName>
    <definedName name="_xlnm.Print_Area" localSheetId="1">'Table 114'!$A$1:$G$115</definedName>
    <definedName name="_xlnm.Print_Area" localSheetId="2">'Table 115'!$A$1:$I$9</definedName>
    <definedName name="_xlnm.Print_Area" localSheetId="5">'Table 118'!$A$1:$E$7</definedName>
    <definedName name="_xlnm.Print_Area" localSheetId="7">'Table 120'!$A$1:$G$9</definedName>
    <definedName name="_xlnm.Print_Area" localSheetId="3">Table116!$A$1:$H$9</definedName>
    <definedName name="_xlnm.Print_Area" localSheetId="4">Table117!$A$1:$I$10</definedName>
  </definedNames>
  <calcPr calcId="162913"/>
</workbook>
</file>

<file path=xl/calcChain.xml><?xml version="1.0" encoding="utf-8"?>
<calcChain xmlns="http://schemas.openxmlformats.org/spreadsheetml/2006/main">
  <c r="C6" i="19" l="1"/>
  <c r="H6" i="19"/>
  <c r="I6" i="19"/>
  <c r="C7" i="19"/>
  <c r="H7" i="19"/>
  <c r="I7" i="19"/>
  <c r="C8" i="19"/>
  <c r="H8" i="19"/>
  <c r="I8" i="19"/>
  <c r="B113" i="18" l="1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2" i="18"/>
  <c r="G81" i="18"/>
  <c r="F81" i="18"/>
  <c r="E81" i="18"/>
  <c r="D81" i="18"/>
  <c r="C81" i="18"/>
  <c r="B81" i="18" s="1"/>
  <c r="C74" i="18"/>
  <c r="B74" i="18" s="1"/>
  <c r="B73" i="18"/>
  <c r="G72" i="18"/>
  <c r="E72" i="18"/>
  <c r="B72" i="18" s="1"/>
  <c r="D72" i="18"/>
  <c r="C72" i="18"/>
  <c r="B71" i="18"/>
  <c r="B69" i="18"/>
  <c r="B67" i="18"/>
  <c r="G64" i="18"/>
  <c r="C64" i="18"/>
  <c r="B64" i="18" s="1"/>
  <c r="B63" i="18"/>
  <c r="G62" i="18"/>
  <c r="C62" i="18"/>
  <c r="B62" i="18" s="1"/>
  <c r="C61" i="18"/>
  <c r="B61" i="18" s="1"/>
  <c r="B59" i="18"/>
  <c r="G58" i="18"/>
  <c r="C58" i="18"/>
  <c r="B58" i="18"/>
  <c r="C56" i="18"/>
  <c r="B56" i="18" s="1"/>
  <c r="B55" i="18"/>
  <c r="G54" i="18"/>
  <c r="C54" i="18"/>
  <c r="B54" i="18" s="1"/>
  <c r="C53" i="18"/>
  <c r="B53" i="18"/>
  <c r="C52" i="18"/>
  <c r="B52" i="18" s="1"/>
  <c r="C51" i="18"/>
  <c r="B51" i="18" s="1"/>
  <c r="B50" i="18"/>
  <c r="G49" i="18"/>
  <c r="C49" i="18"/>
  <c r="B49" i="18"/>
  <c r="B48" i="18"/>
  <c r="B47" i="18"/>
  <c r="G46" i="18"/>
  <c r="G43" i="18" s="1"/>
  <c r="E46" i="18"/>
  <c r="D46" i="18"/>
  <c r="B46" i="18" s="1"/>
  <c r="B44" i="18"/>
  <c r="F43" i="18"/>
  <c r="C36" i="18"/>
  <c r="B36" i="18"/>
  <c r="B35" i="18"/>
  <c r="G34" i="18"/>
  <c r="E34" i="18"/>
  <c r="D34" i="18"/>
  <c r="C34" i="18"/>
  <c r="B34" i="18"/>
  <c r="B31" i="18"/>
  <c r="B30" i="18"/>
  <c r="B29" i="18"/>
  <c r="G26" i="18"/>
  <c r="C26" i="18"/>
  <c r="B26" i="18"/>
  <c r="B25" i="18"/>
  <c r="G24" i="18"/>
  <c r="B24" i="18" s="1"/>
  <c r="C24" i="18"/>
  <c r="C23" i="18"/>
  <c r="B23" i="18"/>
  <c r="G20" i="18"/>
  <c r="F20" i="18"/>
  <c r="F5" i="18" s="1"/>
  <c r="E20" i="18"/>
  <c r="D20" i="18"/>
  <c r="B20" i="18" s="1"/>
  <c r="C20" i="18"/>
  <c r="C18" i="18"/>
  <c r="B18" i="18"/>
  <c r="B17" i="18"/>
  <c r="G16" i="18"/>
  <c r="C16" i="18"/>
  <c r="B16" i="18"/>
  <c r="C15" i="18"/>
  <c r="B15" i="18"/>
  <c r="G14" i="18"/>
  <c r="C14" i="18"/>
  <c r="B14" i="18" s="1"/>
  <c r="G13" i="18"/>
  <c r="E13" i="18"/>
  <c r="D13" i="18"/>
  <c r="B13" i="18" s="1"/>
  <c r="C13" i="18"/>
  <c r="G11" i="18"/>
  <c r="E11" i="18"/>
  <c r="E5" i="18" s="1"/>
  <c r="D11" i="18"/>
  <c r="C11" i="18"/>
  <c r="B11" i="18" s="1"/>
  <c r="B10" i="18"/>
  <c r="B9" i="18"/>
  <c r="G8" i="18"/>
  <c r="E8" i="18"/>
  <c r="D8" i="18"/>
  <c r="D5" i="18" s="1"/>
  <c r="C8" i="18"/>
  <c r="B8" i="18"/>
  <c r="B6" i="18"/>
  <c r="G5" i="18"/>
  <c r="E43" i="18" l="1"/>
  <c r="D43" i="18"/>
  <c r="C5" i="18"/>
  <c r="B5" i="18" s="1"/>
  <c r="C43" i="18"/>
  <c r="D7" i="15"/>
  <c r="D8" i="15"/>
  <c r="D9" i="15"/>
  <c r="D6" i="15"/>
  <c r="E7" i="15"/>
  <c r="E8" i="15"/>
  <c r="E9" i="15"/>
  <c r="H7" i="11"/>
  <c r="G7" i="11"/>
  <c r="H6" i="11"/>
  <c r="G6" i="11"/>
  <c r="G5" i="11"/>
  <c r="E5" i="11"/>
  <c r="H5" i="11" s="1"/>
  <c r="F7" i="11"/>
  <c r="F6" i="11"/>
  <c r="F5" i="11"/>
  <c r="B43" i="18" l="1"/>
  <c r="E24" i="10"/>
  <c r="E14" i="10"/>
  <c r="E6" i="10"/>
  <c r="E8" i="10"/>
  <c r="E9" i="10"/>
  <c r="E10" i="10"/>
  <c r="E11" i="10"/>
  <c r="E12" i="10"/>
  <c r="E13" i="10"/>
  <c r="E15" i="10"/>
  <c r="E16" i="10"/>
  <c r="E17" i="10"/>
  <c r="E18" i="10"/>
  <c r="E20" i="10"/>
  <c r="E21" i="10"/>
  <c r="E23" i="10"/>
  <c r="E25" i="10"/>
  <c r="E26" i="10"/>
  <c r="E29" i="10"/>
  <c r="E31" i="10"/>
  <c r="E33" i="10"/>
  <c r="E34" i="10"/>
  <c r="E35" i="10"/>
  <c r="E36" i="10"/>
  <c r="E37" i="10"/>
  <c r="C5" i="10"/>
  <c r="D5" i="10"/>
  <c r="F5" i="10"/>
  <c r="G5" i="10"/>
  <c r="B5" i="10"/>
  <c r="E5" i="10" l="1"/>
  <c r="F16" i="17"/>
  <c r="G16" i="17"/>
  <c r="E16" i="17"/>
  <c r="D10" i="15"/>
  <c r="E10" i="15"/>
  <c r="F10" i="15"/>
  <c r="G7" i="7" l="1"/>
  <c r="G6" i="7"/>
  <c r="G5" i="7"/>
  <c r="D5" i="7"/>
  <c r="D6" i="7"/>
  <c r="D7" i="7"/>
  <c r="E6" i="6" l="1"/>
  <c r="C6" i="6" l="1"/>
  <c r="D6" i="6"/>
  <c r="B5" i="8"/>
  <c r="B4" i="8"/>
  <c r="B6" i="8"/>
  <c r="B5" i="2"/>
  <c r="B4" i="2"/>
  <c r="B6" i="2"/>
</calcChain>
</file>

<file path=xl/sharedStrings.xml><?xml version="1.0" encoding="utf-8"?>
<sst xmlns="http://schemas.openxmlformats.org/spreadsheetml/2006/main" count="597" uniqueCount="154">
  <si>
    <t>District</t>
  </si>
  <si>
    <t>Domestic</t>
  </si>
  <si>
    <t>Commercial</t>
  </si>
  <si>
    <t>Industrial</t>
  </si>
  <si>
    <t>Bulk</t>
  </si>
  <si>
    <t>Total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</si>
  <si>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</si>
  <si>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</si>
  <si>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</si>
  <si>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</si>
  <si>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</si>
  <si>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</si>
  <si>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</si>
  <si>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</si>
  <si>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</si>
  <si>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</si>
  <si>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</si>
  <si>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</si>
  <si>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</si>
  <si>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</si>
  <si>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</si>
  <si>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</si>
  <si>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</si>
  <si>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</si>
  <si>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</si>
  <si>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</si>
  <si>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</si>
  <si>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</si>
  <si>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Year</t>
  </si>
  <si>
    <t>Pakistan</t>
  </si>
  <si>
    <t>Others</t>
  </si>
  <si>
    <t>Item</t>
  </si>
  <si>
    <t>Unit</t>
  </si>
  <si>
    <t>Connections (Numbers)</t>
  </si>
  <si>
    <t xml:space="preserve">Nowshera </t>
  </si>
  <si>
    <t xml:space="preserve">Mardan </t>
  </si>
  <si>
    <t xml:space="preserve">Swabi </t>
  </si>
  <si>
    <t xml:space="preserve">Kohat </t>
  </si>
  <si>
    <t xml:space="preserve">Bannu </t>
  </si>
  <si>
    <t xml:space="preserve">D.I.Khan </t>
  </si>
  <si>
    <t xml:space="preserve">Battagram </t>
  </si>
  <si>
    <t xml:space="preserve">Mansehra </t>
  </si>
  <si>
    <t xml:space="preserve">Cumulative </t>
  </si>
  <si>
    <t>Millions</t>
  </si>
  <si>
    <t>Total Consumption</t>
  </si>
  <si>
    <t>(In Numbers)</t>
  </si>
  <si>
    <t xml:space="preserve">Abbottabad </t>
  </si>
  <si>
    <t>Population in Million</t>
  </si>
  <si>
    <t>Other</t>
  </si>
  <si>
    <t>Domestic/ Com</t>
  </si>
  <si>
    <t>During</t>
  </si>
  <si>
    <t>Per Capita Gas Consumption</t>
  </si>
  <si>
    <t>ELECTRICITY UNITS SOLD (CATEGORY WISE) IN KHYBER PAKHTUNKHWA</t>
  </si>
  <si>
    <t>ELECTRICITY CONSUMPTION IN PAKISTAN &amp; KHYBER PAKHTUNKHWA</t>
  </si>
  <si>
    <t>PER CAPITA GAS CONSUMPTION IN KHYBER PAKHTUNKHWA</t>
  </si>
  <si>
    <t>Khyber
Pakhtunkhwa</t>
  </si>
  <si>
    <t>Khyber Pakhtunkhwa as %age of Pakistan</t>
  </si>
  <si>
    <t>Khyber Pakhtunkhwa</t>
  </si>
  <si>
    <t>GAS CONNECTION BY TYPE IN KHYBER PAKHTUNKHWA</t>
  </si>
  <si>
    <t xml:space="preserve">Khyber
Pakhtunkhwa
</t>
  </si>
  <si>
    <t>Tor Ghar</t>
  </si>
  <si>
    <t>Table No. 116</t>
  </si>
  <si>
    <t>Dir Lower</t>
  </si>
  <si>
    <t>Dir Upper</t>
  </si>
  <si>
    <t>Table No. 120</t>
  </si>
  <si>
    <t>TorGhar</t>
  </si>
  <si>
    <t xml:space="preserve"> (In Number)</t>
  </si>
  <si>
    <r>
      <t xml:space="preserve">Source:   </t>
    </r>
    <r>
      <rPr>
        <sz val="9"/>
        <rFont val="Arial"/>
        <family val="2"/>
      </rPr>
      <t>Project Director, (Construction) PESCO, Peshawar.</t>
    </r>
  </si>
  <si>
    <r>
      <t xml:space="preserve">Source:  </t>
    </r>
    <r>
      <rPr>
        <sz val="9"/>
        <rFont val="Arial"/>
        <family val="2"/>
      </rPr>
      <t>Chief Executive, PESCO, Peshawar</t>
    </r>
  </si>
  <si>
    <t>Table No. 121</t>
  </si>
  <si>
    <t>Table No. 122</t>
  </si>
  <si>
    <t>2016-17</t>
  </si>
  <si>
    <t>DISTRICT WISE NUMBER OF VILLAGES/SETTLEMENTS ELECTRIFIED IN KHYBER PAKHTUNKHWA</t>
  </si>
  <si>
    <t xml:space="preserve">Chitral </t>
  </si>
  <si>
    <t>Kohistan.</t>
  </si>
  <si>
    <t>2017-18</t>
  </si>
  <si>
    <t xml:space="preserve">Bajaur </t>
  </si>
  <si>
    <t>Khyber</t>
  </si>
  <si>
    <t>Kurram</t>
  </si>
  <si>
    <t>Mohmand</t>
  </si>
  <si>
    <t>Orakzai</t>
  </si>
  <si>
    <t>N.Waziristan</t>
  </si>
  <si>
    <t>S.Waziristan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</si>
  <si>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MAs is included.</t>
    </r>
  </si>
  <si>
    <t>Million Cubic Feet</t>
  </si>
  <si>
    <t>Cubic Feet</t>
  </si>
  <si>
    <t>Consumption (Million Cubic Feet)</t>
  </si>
  <si>
    <t>2018-19</t>
  </si>
  <si>
    <t xml:space="preserve">2018-19 </t>
  </si>
  <si>
    <t>Lakki Marwat</t>
  </si>
  <si>
    <t>Table No. 119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</si>
  <si>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Merged Areas are included</t>
    </r>
  </si>
  <si>
    <t>2019-20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</si>
  <si>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 xml:space="preserve">  Pakistan Energy Book 2019</t>
    </r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</si>
  <si>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Pakistan Energy Book 2019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</si>
  <si>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Pakistan Energy Book 2019</t>
    </r>
  </si>
  <si>
    <t>S.No</t>
  </si>
  <si>
    <t>Sectors</t>
  </si>
  <si>
    <t>Industry</t>
  </si>
  <si>
    <t>Agriculture</t>
  </si>
  <si>
    <t>Transport</t>
  </si>
  <si>
    <t>Power</t>
  </si>
  <si>
    <t>Other Govt:</t>
  </si>
  <si>
    <t>Tonnes</t>
  </si>
  <si>
    <t>do</t>
  </si>
  <si>
    <t>Field</t>
  </si>
  <si>
    <t>Operator</t>
  </si>
  <si>
    <t>OGDCL</t>
  </si>
  <si>
    <t>Chanda</t>
  </si>
  <si>
    <t>Mela</t>
  </si>
  <si>
    <t>Nashpa</t>
  </si>
  <si>
    <t>Makori</t>
  </si>
  <si>
    <t>Makori Deep</t>
  </si>
  <si>
    <t>Makori East</t>
  </si>
  <si>
    <t>Mami Khel</t>
  </si>
  <si>
    <t>Manzalai</t>
  </si>
  <si>
    <t>Maramzai</t>
  </si>
  <si>
    <t>Mardan Khel</t>
  </si>
  <si>
    <t>Tolanj</t>
  </si>
  <si>
    <t>Tolanj West</t>
  </si>
  <si>
    <t>US Barrels</t>
  </si>
  <si>
    <t>-</t>
  </si>
  <si>
    <t>CRUDE OIL PRODUCTION BY FIELD IN KHYBER PAKHTUNKHWA</t>
  </si>
  <si>
    <t>MOL</t>
  </si>
  <si>
    <t>(GWh)</t>
  </si>
  <si>
    <t>Bulk Supply</t>
  </si>
  <si>
    <t>Public Light</t>
  </si>
  <si>
    <t>Consumption (GWh)</t>
  </si>
  <si>
    <t>Per capita consumption (KWh)</t>
  </si>
  <si>
    <r>
      <rPr>
        <b/>
        <sz val="9"/>
        <rFont val="Arial"/>
        <family val="2"/>
      </rPr>
      <t xml:space="preserve">Source:  </t>
    </r>
    <r>
      <rPr>
        <sz val="9"/>
        <rFont val="Arial"/>
        <family val="2"/>
      </rPr>
      <t>Pakistan Energy Book 2019</t>
    </r>
  </si>
  <si>
    <t xml:space="preserve">Generation
(GWh) </t>
  </si>
  <si>
    <t>Household</t>
  </si>
  <si>
    <t>Irrigation</t>
  </si>
  <si>
    <t>(Continued)</t>
  </si>
  <si>
    <t>DISTRICT WISE ELECTRICITY CONNECTIONS BY TYPES IN
KHYBER PAKHTUNKHWA</t>
  </si>
  <si>
    <t>Khyber Pakhtunkhwa Consumption 
as % of Pakistan</t>
  </si>
  <si>
    <t>Industrial/ Bulk</t>
  </si>
  <si>
    <t>Estimated Population of 
Khyber Pakhtunkhwa</t>
  </si>
  <si>
    <t>CONNECTIONS/CONSUMPTION OF NATURAL GAS 
IN PAKISTAN &amp; KHYBER PAKHTUNKHWA</t>
  </si>
  <si>
    <t>SECTORAL CONSUMPTION OF POL PRODUCTS IN 
KHYBER PAKHTUNKHWA</t>
  </si>
  <si>
    <t>Hydel</t>
  </si>
  <si>
    <t>Consumption (All Sources)</t>
  </si>
  <si>
    <t>Generation (Hydel)</t>
  </si>
  <si>
    <t>All Sources</t>
  </si>
  <si>
    <t>Other
Sources</t>
  </si>
  <si>
    <t>Consumption
(GWh)</t>
  </si>
  <si>
    <t>Generation
(GWh)</t>
  </si>
  <si>
    <t>ELECTRICITY GENERATION AND CONSUMPTION OF PAKISTAN &amp; KHYBER PAKHTUNKHWA</t>
  </si>
  <si>
    <t>Table No. 118</t>
  </si>
  <si>
    <t>Table No. 117</t>
  </si>
  <si>
    <t>Table No. 114</t>
  </si>
  <si>
    <t>Table No. 113</t>
  </si>
  <si>
    <t xml:space="preserve">Dir Upper  </t>
  </si>
  <si>
    <t>Table No.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</si>
</sst>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F233D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4" fillId="0" borderId="0" xfId="0" applyNumberFormat="1" applyFont="1" applyBorder="1"/>
    <xf numFmtId="1" fontId="0" fillId="0" borderId="1" xfId="0" applyNumberForma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5" xfId="0" applyFont="1" applyBorder="1" applyAlignment="1"/>
    <xf numFmtId="0" fontId="1" fillId="0" borderId="0" xfId="0" applyFont="1" applyFill="1"/>
    <xf numFmtId="0" fontId="1" fillId="0" borderId="0" xfId="0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1" xfId="1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3" fontId="0" fillId="0" borderId="1" xfId="1" applyNumberFormat="1" applyFont="1" applyFill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164" fontId="0" fillId="0" borderId="0" xfId="0" applyNumberFormat="1" applyFill="1"/>
    <xf numFmtId="0" fontId="4" fillId="0" borderId="1" xfId="0" applyFont="1" applyBorder="1" applyAlignment="1">
      <alignment horizontal="center" vertical="center" wrapText="1"/>
    </xf>
    <xf numFmtId="0" fontId="3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right"/>
    </xf>
    <xf numFmtId="164" fontId="1" fillId="0" borderId="1" xfId="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9"/>
  <sheetViews>
    <sheetView view="pageBreakPreview" topLeftCell="A16" zoomScaleSheetLayoutView="100" workbookViewId="0">
      <selection activeCell="B5" sqref="B5"/>
    </sheetView>
  </sheetViews>
  <sheetFormatPr defaultRowHeight="12.75" x14ac:dyDescent="0.2"/>
  <cols>
    <col min="1" max="1" width="16" customWidth="1"/>
    <col min="2" max="7" width="11.7109375" customWidth="1"/>
  </cols>
  <sheetData>
    <row r="1" spans="1:14" ht="60" customHeight="1" x14ac:dyDescent="0.2">
      <c r="A1" s="116" t="s">
        <v>72</v>
      </c>
      <c r="B1" s="116"/>
      <c r="C1" s="116"/>
      <c r="D1" s="116"/>
      <c r="E1" s="116"/>
      <c r="F1" s="116"/>
      <c r="G1" s="116"/>
    </row>
    <row r="2" spans="1:14" s="7" customFormat="1" ht="12.75" customHeight="1" x14ac:dyDescent="0.2">
      <c r="A2" s="7" t="s">
        <v>151</v>
      </c>
    </row>
    <row r="3" spans="1:14" s="99" customFormat="1" ht="20.100000000000001" customHeight="1" x14ac:dyDescent="0.2">
      <c r="A3" s="118" t="s">
        <v>0</v>
      </c>
      <c r="B3" s="117" t="s">
        <v>75</v>
      </c>
      <c r="C3" s="117"/>
      <c r="D3" s="117" t="s">
        <v>88</v>
      </c>
      <c r="E3" s="117"/>
      <c r="F3" s="117" t="s">
        <v>92</v>
      </c>
      <c r="G3" s="117"/>
    </row>
    <row r="4" spans="1:14" s="99" customFormat="1" ht="20.100000000000001" customHeight="1" x14ac:dyDescent="0.2">
      <c r="A4" s="118"/>
      <c r="B4" s="83" t="s">
        <v>50</v>
      </c>
      <c r="C4" s="83" t="s">
        <v>42</v>
      </c>
      <c r="D4" s="83" t="s">
        <v>50</v>
      </c>
      <c r="E4" s="83" t="s">
        <v>42</v>
      </c>
      <c r="F4" s="83" t="s">
        <v>50</v>
      </c>
      <c r="G4" s="83" t="s">
        <v>42</v>
      </c>
    </row>
    <row r="5" spans="1:14" s="99" customFormat="1" ht="25.5" customHeight="1" x14ac:dyDescent="0.2">
      <c r="A5" s="12" t="s">
        <v>55</v>
      </c>
      <c r="B5" s="51">
        <f t="shared" ref="B5:G5" si="0">SUM(B6:B37)</f>
        <v>1062</v>
      </c>
      <c r="C5" s="51">
        <f t="shared" si="0"/>
        <v>28674</v>
      </c>
      <c r="D5" s="51">
        <f t="shared" si="0"/>
        <v>1101</v>
      </c>
      <c r="E5" s="51">
        <f t="shared" si="0"/>
        <v>29775</v>
      </c>
      <c r="F5" s="51">
        <f t="shared" si="0"/>
        <v>703</v>
      </c>
      <c r="G5" s="51">
        <f t="shared" si="0"/>
        <v>30478</v>
      </c>
      <c r="H5" s="100"/>
    </row>
    <row r="6" spans="1:14" s="99" customFormat="1" ht="17.45" customHeight="1" x14ac:dyDescent="0.2">
      <c r="A6" s="5" t="s">
        <v>46</v>
      </c>
      <c r="B6" s="52">
        <v>10</v>
      </c>
      <c r="C6" s="52">
        <v>1867</v>
      </c>
      <c r="D6" s="52">
        <v>31</v>
      </c>
      <c r="E6" s="52">
        <f>SUM(C6:D6)</f>
        <v>1898</v>
      </c>
      <c r="F6" s="53">
        <v>6</v>
      </c>
      <c r="G6" s="52">
        <v>1904</v>
      </c>
      <c r="J6" s="101"/>
      <c r="K6" s="18"/>
      <c r="L6" s="101"/>
      <c r="M6" s="101"/>
      <c r="N6" s="101"/>
    </row>
    <row r="7" spans="1:14" s="99" customFormat="1" ht="17.45" customHeight="1" x14ac:dyDescent="0.2">
      <c r="A7" s="30" t="s">
        <v>76</v>
      </c>
      <c r="B7" s="52" t="s">
        <v>121</v>
      </c>
      <c r="C7" s="52" t="s">
        <v>121</v>
      </c>
      <c r="D7" s="52" t="s">
        <v>121</v>
      </c>
      <c r="E7" s="52" t="s">
        <v>121</v>
      </c>
      <c r="F7" s="52" t="s">
        <v>121</v>
      </c>
      <c r="G7" s="52" t="s">
        <v>121</v>
      </c>
      <c r="J7" s="101"/>
      <c r="K7" s="18"/>
      <c r="L7" s="101"/>
      <c r="M7" s="101"/>
      <c r="N7" s="101"/>
    </row>
    <row r="8" spans="1:14" s="99" customFormat="1" ht="17.45" customHeight="1" x14ac:dyDescent="0.2">
      <c r="A8" s="5" t="s">
        <v>38</v>
      </c>
      <c r="B8" s="52">
        <v>1</v>
      </c>
      <c r="C8" s="52">
        <v>1141</v>
      </c>
      <c r="D8" s="52">
        <v>13</v>
      </c>
      <c r="E8" s="52">
        <f t="shared" ref="E8:E18" si="1">SUM(C8:D8)</f>
        <v>1154</v>
      </c>
      <c r="F8" s="53">
        <v>19</v>
      </c>
      <c r="G8" s="52">
        <v>1173</v>
      </c>
      <c r="J8" s="101"/>
      <c r="K8" s="18"/>
      <c r="L8" s="101"/>
      <c r="M8" s="101"/>
      <c r="N8" s="101"/>
    </row>
    <row r="9" spans="1:14" s="99" customFormat="1" ht="17.45" customHeight="1" x14ac:dyDescent="0.2">
      <c r="A9" s="5" t="s">
        <v>40</v>
      </c>
      <c r="B9" s="52" t="s">
        <v>121</v>
      </c>
      <c r="C9" s="52">
        <v>493</v>
      </c>
      <c r="D9" s="52" t="s">
        <v>121</v>
      </c>
      <c r="E9" s="52">
        <f t="shared" si="1"/>
        <v>493</v>
      </c>
      <c r="F9" s="53" t="s">
        <v>121</v>
      </c>
      <c r="G9" s="52">
        <v>493</v>
      </c>
      <c r="J9" s="101"/>
      <c r="K9" s="18"/>
      <c r="L9" s="101"/>
      <c r="M9" s="101"/>
      <c r="N9" s="101"/>
    </row>
    <row r="10" spans="1:14" s="99" customFormat="1" ht="17.45" customHeight="1" x14ac:dyDescent="0.2">
      <c r="A10" s="5" t="s">
        <v>26</v>
      </c>
      <c r="B10" s="52">
        <v>19</v>
      </c>
      <c r="C10" s="52">
        <v>818</v>
      </c>
      <c r="D10" s="52">
        <v>22</v>
      </c>
      <c r="E10" s="52">
        <f t="shared" si="1"/>
        <v>840</v>
      </c>
      <c r="F10" s="53">
        <v>2</v>
      </c>
      <c r="G10" s="52">
        <v>842</v>
      </c>
      <c r="J10" s="101"/>
      <c r="K10" s="18"/>
      <c r="L10" s="101"/>
      <c r="M10" s="101"/>
      <c r="N10" s="101"/>
    </row>
    <row r="11" spans="1:14" s="99" customFormat="1" ht="17.45" customHeight="1" x14ac:dyDescent="0.2">
      <c r="A11" s="5" t="s">
        <v>8</v>
      </c>
      <c r="B11" s="52">
        <v>131</v>
      </c>
      <c r="C11" s="52">
        <v>1594</v>
      </c>
      <c r="D11" s="52">
        <v>21</v>
      </c>
      <c r="E11" s="52">
        <f t="shared" si="1"/>
        <v>1615</v>
      </c>
      <c r="F11" s="53">
        <v>3</v>
      </c>
      <c r="G11" s="52">
        <v>1618</v>
      </c>
      <c r="J11" s="101"/>
      <c r="K11" s="18"/>
      <c r="L11" s="101"/>
      <c r="M11" s="101"/>
      <c r="N11" s="101"/>
    </row>
    <row r="12" spans="1:14" s="99" customFormat="1" ht="17.45" customHeight="1" x14ac:dyDescent="0.2">
      <c r="A12" s="5" t="s">
        <v>73</v>
      </c>
      <c r="B12" s="52" t="s">
        <v>121</v>
      </c>
      <c r="C12" s="52">
        <v>229</v>
      </c>
      <c r="D12" s="52" t="s">
        <v>121</v>
      </c>
      <c r="E12" s="52">
        <f t="shared" si="1"/>
        <v>229</v>
      </c>
      <c r="F12" s="53" t="s">
        <v>121</v>
      </c>
      <c r="G12" s="52">
        <v>229</v>
      </c>
      <c r="J12" s="101"/>
      <c r="K12" s="18"/>
      <c r="L12" s="101"/>
      <c r="M12" s="101"/>
      <c r="N12" s="101"/>
    </row>
    <row r="13" spans="1:14" s="99" customFormat="1" ht="17.45" customHeight="1" x14ac:dyDescent="0.2">
      <c r="A13" s="5" t="s">
        <v>39</v>
      </c>
      <c r="B13" s="52">
        <v>47</v>
      </c>
      <c r="C13" s="52">
        <v>1357</v>
      </c>
      <c r="D13" s="52">
        <v>42</v>
      </c>
      <c r="E13" s="52">
        <f t="shared" si="1"/>
        <v>1399</v>
      </c>
      <c r="F13" s="53">
        <v>40</v>
      </c>
      <c r="G13" s="52">
        <v>1439</v>
      </c>
      <c r="J13" s="101"/>
      <c r="K13" s="18"/>
      <c r="L13" s="101"/>
      <c r="M13" s="101"/>
      <c r="N13" s="101"/>
    </row>
    <row r="14" spans="1:14" s="99" customFormat="1" ht="17.45" customHeight="1" x14ac:dyDescent="0.2">
      <c r="A14" s="5" t="s">
        <v>62</v>
      </c>
      <c r="B14" s="52">
        <v>82</v>
      </c>
      <c r="C14" s="52">
        <v>1536</v>
      </c>
      <c r="D14" s="52" t="s">
        <v>121</v>
      </c>
      <c r="E14" s="52">
        <f>SUM(C14:D14)</f>
        <v>1536</v>
      </c>
      <c r="F14" s="53" t="s">
        <v>121</v>
      </c>
      <c r="G14" s="52">
        <v>1536</v>
      </c>
      <c r="J14" s="101"/>
      <c r="K14" s="18"/>
      <c r="L14" s="101"/>
      <c r="M14" s="101"/>
      <c r="N14" s="101"/>
    </row>
    <row r="15" spans="1:14" s="99" customFormat="1" ht="17.45" customHeight="1" x14ac:dyDescent="0.2">
      <c r="A15" s="5" t="s">
        <v>152</v>
      </c>
      <c r="B15" s="52">
        <v>23</v>
      </c>
      <c r="C15" s="52">
        <v>1150</v>
      </c>
      <c r="D15" s="52" t="s">
        <v>121</v>
      </c>
      <c r="E15" s="52">
        <f>SUM(C15:D15)</f>
        <v>1150</v>
      </c>
      <c r="F15" s="53" t="s">
        <v>121</v>
      </c>
      <c r="G15" s="52">
        <v>1150</v>
      </c>
    </row>
    <row r="16" spans="1:14" s="99" customFormat="1" ht="17.45" customHeight="1" x14ac:dyDescent="0.2">
      <c r="A16" s="5" t="s">
        <v>12</v>
      </c>
      <c r="B16" s="52" t="s">
        <v>121</v>
      </c>
      <c r="C16" s="52">
        <v>430</v>
      </c>
      <c r="D16" s="52" t="s">
        <v>121</v>
      </c>
      <c r="E16" s="52">
        <f t="shared" si="1"/>
        <v>430</v>
      </c>
      <c r="F16" s="53" t="s">
        <v>121</v>
      </c>
      <c r="G16" s="52">
        <v>430</v>
      </c>
      <c r="J16" s="101"/>
      <c r="K16" s="18"/>
      <c r="L16" s="101"/>
      <c r="M16" s="101"/>
      <c r="N16" s="101"/>
    </row>
    <row r="17" spans="1:14" s="99" customFormat="1" ht="17.45" customHeight="1" x14ac:dyDescent="0.2">
      <c r="A17" s="5" t="s">
        <v>15</v>
      </c>
      <c r="B17" s="52">
        <v>51</v>
      </c>
      <c r="C17" s="52">
        <v>1031</v>
      </c>
      <c r="D17" s="52">
        <v>11</v>
      </c>
      <c r="E17" s="52">
        <f t="shared" si="1"/>
        <v>1042</v>
      </c>
      <c r="F17" s="53">
        <v>2</v>
      </c>
      <c r="G17" s="52">
        <v>1044</v>
      </c>
      <c r="J17" s="101"/>
      <c r="K17" s="18"/>
      <c r="L17" s="101"/>
      <c r="M17" s="101"/>
      <c r="N17" s="101"/>
    </row>
    <row r="18" spans="1:14" s="99" customFormat="1" ht="17.45" customHeight="1" x14ac:dyDescent="0.2">
      <c r="A18" s="5" t="s">
        <v>13</v>
      </c>
      <c r="B18" s="52">
        <v>1</v>
      </c>
      <c r="C18" s="52">
        <v>487</v>
      </c>
      <c r="D18" s="52">
        <v>1</v>
      </c>
      <c r="E18" s="52">
        <f t="shared" si="1"/>
        <v>488</v>
      </c>
      <c r="F18" s="53">
        <v>5</v>
      </c>
      <c r="G18" s="52">
        <v>493</v>
      </c>
      <c r="J18" s="101"/>
      <c r="K18" s="18"/>
      <c r="L18" s="101"/>
      <c r="M18" s="101"/>
      <c r="N18" s="101"/>
    </row>
    <row r="19" spans="1:14" s="99" customFormat="1" ht="17.45" customHeight="1" x14ac:dyDescent="0.2">
      <c r="A19" s="30" t="s">
        <v>77</v>
      </c>
      <c r="B19" s="52" t="s">
        <v>121</v>
      </c>
      <c r="C19" s="52" t="s">
        <v>121</v>
      </c>
      <c r="D19" s="52" t="s">
        <v>121</v>
      </c>
      <c r="E19" s="52" t="s">
        <v>121</v>
      </c>
      <c r="F19" s="52" t="s">
        <v>121</v>
      </c>
      <c r="G19" s="52" t="s">
        <v>121</v>
      </c>
      <c r="J19" s="101"/>
      <c r="K19" s="18"/>
      <c r="L19" s="101"/>
      <c r="M19" s="101"/>
      <c r="N19" s="101"/>
    </row>
    <row r="20" spans="1:14" s="99" customFormat="1" ht="17.45" customHeight="1" x14ac:dyDescent="0.2">
      <c r="A20" s="5" t="s">
        <v>37</v>
      </c>
      <c r="B20" s="52">
        <v>35</v>
      </c>
      <c r="C20" s="52">
        <v>1130</v>
      </c>
      <c r="D20" s="52" t="s">
        <v>121</v>
      </c>
      <c r="E20" s="52">
        <f>SUM(C20:D20)</f>
        <v>1130</v>
      </c>
      <c r="F20" s="53" t="s">
        <v>121</v>
      </c>
      <c r="G20" s="52">
        <v>1130</v>
      </c>
      <c r="J20" s="101"/>
      <c r="K20" s="18"/>
      <c r="L20" s="101"/>
      <c r="M20" s="101"/>
      <c r="N20" s="101"/>
    </row>
    <row r="21" spans="1:14" s="99" customFormat="1" ht="17.45" customHeight="1" x14ac:dyDescent="0.2">
      <c r="A21" s="5" t="s">
        <v>74</v>
      </c>
      <c r="B21" s="52">
        <v>17</v>
      </c>
      <c r="C21" s="52">
        <v>100</v>
      </c>
      <c r="D21" s="52">
        <v>5</v>
      </c>
      <c r="E21" s="52">
        <f>SUM(C21:D21)</f>
        <v>105</v>
      </c>
      <c r="F21" s="53">
        <v>3</v>
      </c>
      <c r="G21" s="52">
        <v>108</v>
      </c>
      <c r="J21" s="101"/>
      <c r="K21" s="18"/>
      <c r="L21" s="101"/>
      <c r="M21" s="101"/>
      <c r="N21" s="101"/>
    </row>
    <row r="22" spans="1:14" s="99" customFormat="1" ht="17.45" customHeight="1" x14ac:dyDescent="0.2">
      <c r="A22" s="30" t="s">
        <v>78</v>
      </c>
      <c r="B22" s="52" t="s">
        <v>121</v>
      </c>
      <c r="C22" s="52" t="s">
        <v>121</v>
      </c>
      <c r="D22" s="52" t="s">
        <v>121</v>
      </c>
      <c r="E22" s="52" t="s">
        <v>121</v>
      </c>
      <c r="F22" s="52" t="s">
        <v>121</v>
      </c>
      <c r="G22" s="52" t="s">
        <v>121</v>
      </c>
      <c r="J22" s="101"/>
      <c r="K22" s="18"/>
      <c r="L22" s="101"/>
      <c r="M22" s="101"/>
      <c r="N22" s="101"/>
    </row>
    <row r="23" spans="1:14" s="99" customFormat="1" ht="17.45" customHeight="1" x14ac:dyDescent="0.2">
      <c r="A23" s="5" t="s">
        <v>89</v>
      </c>
      <c r="B23" s="52">
        <v>4</v>
      </c>
      <c r="C23" s="52">
        <v>676</v>
      </c>
      <c r="D23" s="52">
        <v>2</v>
      </c>
      <c r="E23" s="52">
        <f>SUM(C23:D23)</f>
        <v>678</v>
      </c>
      <c r="F23" s="53">
        <v>2</v>
      </c>
      <c r="G23" s="52">
        <v>680</v>
      </c>
      <c r="J23" s="101"/>
      <c r="K23" s="18"/>
      <c r="L23" s="101"/>
      <c r="M23" s="101"/>
      <c r="N23" s="101"/>
    </row>
    <row r="24" spans="1:14" s="99" customFormat="1" ht="17.45" customHeight="1" x14ac:dyDescent="0.2">
      <c r="A24" s="5" t="s">
        <v>27</v>
      </c>
      <c r="B24" s="52">
        <v>115</v>
      </c>
      <c r="C24" s="52">
        <v>1138</v>
      </c>
      <c r="D24" s="52">
        <v>109</v>
      </c>
      <c r="E24" s="52">
        <f>SUM(C24:D24)</f>
        <v>1247</v>
      </c>
      <c r="F24" s="53">
        <v>42</v>
      </c>
      <c r="G24" s="52">
        <v>1289</v>
      </c>
      <c r="J24" s="101"/>
      <c r="K24" s="18"/>
      <c r="L24" s="101"/>
      <c r="M24" s="101"/>
      <c r="N24" s="101"/>
    </row>
    <row r="25" spans="1:14" s="99" customFormat="1" ht="17.45" customHeight="1" x14ac:dyDescent="0.2">
      <c r="A25" s="5" t="s">
        <v>41</v>
      </c>
      <c r="B25" s="52">
        <v>27</v>
      </c>
      <c r="C25" s="52">
        <v>2986</v>
      </c>
      <c r="D25" s="52">
        <v>6</v>
      </c>
      <c r="E25" s="52">
        <f>SUM(C25:D25)</f>
        <v>2992</v>
      </c>
      <c r="F25" s="53">
        <v>6</v>
      </c>
      <c r="G25" s="52">
        <v>2998</v>
      </c>
      <c r="J25" s="101"/>
      <c r="K25" s="18"/>
      <c r="L25" s="101"/>
      <c r="M25" s="101"/>
      <c r="N25" s="101"/>
    </row>
    <row r="26" spans="1:14" s="99" customFormat="1" ht="17.45" customHeight="1" x14ac:dyDescent="0.2">
      <c r="A26" s="5" t="s">
        <v>35</v>
      </c>
      <c r="B26" s="52">
        <v>190</v>
      </c>
      <c r="C26" s="52">
        <v>2437</v>
      </c>
      <c r="D26" s="52">
        <v>384</v>
      </c>
      <c r="E26" s="52">
        <f>SUM(C26:D26)</f>
        <v>2821</v>
      </c>
      <c r="F26" s="53">
        <v>251</v>
      </c>
      <c r="G26" s="52">
        <v>3072</v>
      </c>
      <c r="J26" s="101"/>
      <c r="K26" s="18"/>
      <c r="L26" s="101"/>
      <c r="M26" s="101"/>
      <c r="N26" s="101"/>
    </row>
    <row r="27" spans="1:14" s="99" customFormat="1" ht="17.45" customHeight="1" x14ac:dyDescent="0.2">
      <c r="A27" s="30" t="s">
        <v>79</v>
      </c>
      <c r="B27" s="52" t="s">
        <v>121</v>
      </c>
      <c r="C27" s="52" t="s">
        <v>121</v>
      </c>
      <c r="D27" s="52" t="s">
        <v>121</v>
      </c>
      <c r="E27" s="52" t="s">
        <v>121</v>
      </c>
      <c r="F27" s="52" t="s">
        <v>121</v>
      </c>
      <c r="G27" s="52" t="s">
        <v>121</v>
      </c>
      <c r="J27" s="101"/>
      <c r="K27" s="18"/>
      <c r="L27" s="101"/>
      <c r="M27" s="101"/>
      <c r="N27" s="101"/>
    </row>
    <row r="28" spans="1:14" s="99" customFormat="1" ht="17.45" customHeight="1" x14ac:dyDescent="0.2">
      <c r="A28" s="30" t="s">
        <v>81</v>
      </c>
      <c r="B28" s="52" t="s">
        <v>121</v>
      </c>
      <c r="C28" s="52" t="s">
        <v>121</v>
      </c>
      <c r="D28" s="52" t="s">
        <v>121</v>
      </c>
      <c r="E28" s="52" t="s">
        <v>121</v>
      </c>
      <c r="F28" s="52" t="s">
        <v>121</v>
      </c>
      <c r="G28" s="52" t="s">
        <v>121</v>
      </c>
      <c r="J28" s="101"/>
      <c r="K28" s="18"/>
      <c r="L28" s="101"/>
      <c r="M28" s="101"/>
      <c r="N28" s="101"/>
    </row>
    <row r="29" spans="1:14" s="99" customFormat="1" ht="17.45" customHeight="1" x14ac:dyDescent="0.2">
      <c r="A29" s="5" t="s">
        <v>34</v>
      </c>
      <c r="B29" s="52">
        <v>21</v>
      </c>
      <c r="C29" s="52">
        <v>1401</v>
      </c>
      <c r="D29" s="52">
        <v>11</v>
      </c>
      <c r="E29" s="52">
        <f>SUM(C29:D29)</f>
        <v>1412</v>
      </c>
      <c r="F29" s="53">
        <v>4</v>
      </c>
      <c r="G29" s="52">
        <v>1416</v>
      </c>
      <c r="J29" s="101"/>
      <c r="K29" s="18"/>
      <c r="L29" s="101"/>
      <c r="M29" s="101"/>
      <c r="N29" s="101"/>
    </row>
    <row r="30" spans="1:14" s="99" customFormat="1" ht="17.45" customHeight="1" x14ac:dyDescent="0.2">
      <c r="A30" s="30" t="s">
        <v>80</v>
      </c>
      <c r="B30" s="52" t="s">
        <v>121</v>
      </c>
      <c r="C30" s="52" t="s">
        <v>121</v>
      </c>
      <c r="D30" s="52" t="s">
        <v>121</v>
      </c>
      <c r="E30" s="52" t="s">
        <v>121</v>
      </c>
      <c r="F30" s="52" t="s">
        <v>121</v>
      </c>
      <c r="G30" s="52" t="s">
        <v>121</v>
      </c>
      <c r="J30" s="101"/>
      <c r="K30" s="18"/>
      <c r="L30" s="101"/>
      <c r="M30" s="101"/>
      <c r="N30" s="101"/>
    </row>
    <row r="31" spans="1:14" s="99" customFormat="1" ht="17.45" customHeight="1" x14ac:dyDescent="0.2">
      <c r="A31" s="5" t="s">
        <v>6</v>
      </c>
      <c r="B31" s="52">
        <v>19</v>
      </c>
      <c r="C31" s="52">
        <v>1664</v>
      </c>
      <c r="D31" s="52">
        <v>14</v>
      </c>
      <c r="E31" s="52">
        <f>SUM(C31:D31)</f>
        <v>1678</v>
      </c>
      <c r="F31" s="53">
        <v>1</v>
      </c>
      <c r="G31" s="52">
        <v>1679</v>
      </c>
      <c r="J31" s="101"/>
      <c r="K31" s="18"/>
      <c r="L31" s="101"/>
      <c r="M31" s="101"/>
      <c r="N31" s="101"/>
    </row>
    <row r="32" spans="1:14" s="99" customFormat="1" ht="17.45" customHeight="1" x14ac:dyDescent="0.2">
      <c r="A32" s="30" t="s">
        <v>82</v>
      </c>
      <c r="B32" s="52" t="s">
        <v>121</v>
      </c>
      <c r="C32" s="52" t="s">
        <v>121</v>
      </c>
      <c r="D32" s="52" t="s">
        <v>121</v>
      </c>
      <c r="E32" s="52" t="s">
        <v>121</v>
      </c>
      <c r="F32" s="52" t="s">
        <v>121</v>
      </c>
      <c r="G32" s="52" t="s">
        <v>121</v>
      </c>
    </row>
    <row r="33" spans="1:14" s="99" customFormat="1" ht="17.45" customHeight="1" x14ac:dyDescent="0.2">
      <c r="A33" s="5" t="s">
        <v>25</v>
      </c>
      <c r="B33" s="52">
        <v>23</v>
      </c>
      <c r="C33" s="52">
        <v>652</v>
      </c>
      <c r="D33" s="52">
        <v>8</v>
      </c>
      <c r="E33" s="52">
        <f t="shared" ref="E33:E37" si="2">SUM(C33:D33)</f>
        <v>660</v>
      </c>
      <c r="F33" s="53">
        <v>3</v>
      </c>
      <c r="G33" s="52">
        <v>663</v>
      </c>
    </row>
    <row r="34" spans="1:14" s="99" customFormat="1" ht="17.45" customHeight="1" x14ac:dyDescent="0.2">
      <c r="A34" s="5" t="s">
        <v>36</v>
      </c>
      <c r="B34" s="52">
        <v>146</v>
      </c>
      <c r="C34" s="52">
        <v>2247</v>
      </c>
      <c r="D34" s="52">
        <v>334</v>
      </c>
      <c r="E34" s="52">
        <f t="shared" si="2"/>
        <v>2581</v>
      </c>
      <c r="F34" s="53">
        <v>205</v>
      </c>
      <c r="G34" s="52">
        <v>2786</v>
      </c>
    </row>
    <row r="35" spans="1:14" s="99" customFormat="1" ht="17.45" customHeight="1" x14ac:dyDescent="0.2">
      <c r="A35" s="5" t="s">
        <v>24</v>
      </c>
      <c r="B35" s="52">
        <v>95</v>
      </c>
      <c r="C35" s="52">
        <v>1886</v>
      </c>
      <c r="D35" s="52">
        <v>84</v>
      </c>
      <c r="E35" s="52">
        <f t="shared" si="2"/>
        <v>1970</v>
      </c>
      <c r="F35" s="53">
        <v>77</v>
      </c>
      <c r="G35" s="52">
        <v>2047</v>
      </c>
    </row>
    <row r="36" spans="1:14" s="99" customFormat="1" ht="17.45" customHeight="1" x14ac:dyDescent="0.2">
      <c r="A36" s="5" t="s">
        <v>20</v>
      </c>
      <c r="B36" s="52" t="s">
        <v>121</v>
      </c>
      <c r="C36" s="52">
        <v>214</v>
      </c>
      <c r="D36" s="52" t="s">
        <v>121</v>
      </c>
      <c r="E36" s="52">
        <f t="shared" si="2"/>
        <v>214</v>
      </c>
      <c r="F36" s="53">
        <v>32</v>
      </c>
      <c r="G36" s="52">
        <v>246</v>
      </c>
    </row>
    <row r="37" spans="1:14" s="99" customFormat="1" ht="17.45" customHeight="1" x14ac:dyDescent="0.2">
      <c r="A37" s="5" t="s">
        <v>60</v>
      </c>
      <c r="B37" s="52">
        <v>5</v>
      </c>
      <c r="C37" s="52">
        <v>10</v>
      </c>
      <c r="D37" s="52">
        <v>3</v>
      </c>
      <c r="E37" s="52">
        <f t="shared" si="2"/>
        <v>13</v>
      </c>
      <c r="F37" s="53" t="s">
        <v>121</v>
      </c>
      <c r="G37" s="52">
        <v>13</v>
      </c>
    </row>
    <row r="38" spans="1:14" s="7" customFormat="1" ht="12.75" customHeight="1" x14ac:dyDescent="0.2">
      <c r="A38" s="17"/>
      <c r="E38" s="10"/>
      <c r="F38" s="19"/>
      <c r="J38" s="20"/>
      <c r="K38" s="20"/>
      <c r="L38" s="20"/>
      <c r="M38" s="20"/>
      <c r="N38" s="20"/>
    </row>
    <row r="39" spans="1:14" s="7" customFormat="1" ht="13.15" customHeight="1" x14ac:dyDescent="0.2">
      <c r="B39" s="20"/>
      <c r="C39" s="21"/>
      <c r="D39" s="20"/>
      <c r="G39" s="10" t="s">
        <v>67</v>
      </c>
      <c r="J39" s="20"/>
      <c r="K39" s="20"/>
      <c r="L39" s="20"/>
      <c r="M39" s="20"/>
      <c r="N39" s="20"/>
    </row>
  </sheetData>
  <sortState ref="A6:G37">
    <sortCondition ref="A6:A37"/>
  </sortState>
  <mergeCells count="5">
    <mergeCell ref="A1:G1"/>
    <mergeCell ref="F3:G3"/>
    <mergeCell ref="B3:C3"/>
    <mergeCell ref="A3:A4"/>
    <mergeCell ref="D3:E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155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1"/>
  <sheetViews>
    <sheetView view="pageBreakPreview" zoomScaleSheetLayoutView="100" workbookViewId="0">
      <selection activeCell="C2" sqref="C2"/>
    </sheetView>
  </sheetViews>
  <sheetFormatPr defaultRowHeight="12.75" x14ac:dyDescent="0.2"/>
  <cols>
    <col min="1" max="1" width="6.42578125" style="38" customWidth="1"/>
    <col min="2" max="2" width="13.7109375" style="38" customWidth="1"/>
    <col min="3" max="7" width="13.42578125" style="38" customWidth="1"/>
    <col min="8" max="16384" width="9.140625" style="38"/>
  </cols>
  <sheetData>
    <row r="1" spans="1:7" ht="60" customHeight="1" x14ac:dyDescent="0.2">
      <c r="A1" s="126" t="s">
        <v>122</v>
      </c>
      <c r="B1" s="126"/>
      <c r="C1" s="126"/>
      <c r="D1" s="126"/>
      <c r="E1" s="126"/>
      <c r="F1" s="126"/>
      <c r="G1" s="126"/>
    </row>
    <row r="2" spans="1:7" s="25" customFormat="1" ht="12.95" customHeight="1" x14ac:dyDescent="0.2">
      <c r="A2" s="25" t="s">
        <v>70</v>
      </c>
    </row>
    <row r="3" spans="1:7" ht="25.5" customHeight="1" x14ac:dyDescent="0.2">
      <c r="A3" s="62" t="s">
        <v>96</v>
      </c>
      <c r="B3" s="67" t="s">
        <v>105</v>
      </c>
      <c r="C3" s="62" t="s">
        <v>106</v>
      </c>
      <c r="D3" s="62" t="s">
        <v>32</v>
      </c>
      <c r="E3" s="62" t="s">
        <v>71</v>
      </c>
      <c r="F3" s="62" t="s">
        <v>75</v>
      </c>
      <c r="G3" s="62" t="s">
        <v>87</v>
      </c>
    </row>
    <row r="4" spans="1:7" ht="25.5" customHeight="1" x14ac:dyDescent="0.2">
      <c r="A4" s="29">
        <v>1</v>
      </c>
      <c r="B4" s="6" t="s">
        <v>108</v>
      </c>
      <c r="C4" s="28" t="s">
        <v>107</v>
      </c>
      <c r="D4" s="28" t="s">
        <v>120</v>
      </c>
      <c r="E4" s="33">
        <v>445530</v>
      </c>
      <c r="F4" s="33">
        <v>595618</v>
      </c>
      <c r="G4" s="33">
        <v>797945</v>
      </c>
    </row>
    <row r="5" spans="1:7" ht="25.5" customHeight="1" x14ac:dyDescent="0.2">
      <c r="A5" s="65">
        <v>2</v>
      </c>
      <c r="B5" s="64" t="s">
        <v>111</v>
      </c>
      <c r="C5" s="28" t="s">
        <v>123</v>
      </c>
      <c r="D5" s="28" t="s">
        <v>104</v>
      </c>
      <c r="E5" s="33">
        <v>18620</v>
      </c>
      <c r="F5" s="33">
        <v>14780</v>
      </c>
      <c r="G5" s="33">
        <v>12912</v>
      </c>
    </row>
    <row r="6" spans="1:7" ht="25.5" customHeight="1" x14ac:dyDescent="0.2">
      <c r="A6" s="29">
        <v>3</v>
      </c>
      <c r="B6" s="64" t="s">
        <v>112</v>
      </c>
      <c r="C6" s="28" t="s">
        <v>104</v>
      </c>
      <c r="D6" s="28" t="s">
        <v>104</v>
      </c>
      <c r="E6" s="33">
        <v>0</v>
      </c>
      <c r="F6" s="33">
        <v>789957</v>
      </c>
      <c r="G6" s="33">
        <v>515258</v>
      </c>
    </row>
    <row r="7" spans="1:7" ht="25.5" customHeight="1" x14ac:dyDescent="0.2">
      <c r="A7" s="65">
        <v>4</v>
      </c>
      <c r="B7" s="64" t="s">
        <v>113</v>
      </c>
      <c r="C7" s="28" t="s">
        <v>104</v>
      </c>
      <c r="D7" s="28" t="s">
        <v>104</v>
      </c>
      <c r="E7" s="33">
        <v>5245874</v>
      </c>
      <c r="F7" s="33">
        <v>4269266</v>
      </c>
      <c r="G7" s="33">
        <v>3831808</v>
      </c>
    </row>
    <row r="8" spans="1:7" ht="25.5" customHeight="1" x14ac:dyDescent="0.2">
      <c r="A8" s="29">
        <v>5</v>
      </c>
      <c r="B8" s="6" t="s">
        <v>114</v>
      </c>
      <c r="C8" s="28" t="s">
        <v>104</v>
      </c>
      <c r="D8" s="28" t="s">
        <v>104</v>
      </c>
      <c r="E8" s="33">
        <v>219262</v>
      </c>
      <c r="F8" s="33">
        <v>230417</v>
      </c>
      <c r="G8" s="33">
        <v>187746</v>
      </c>
    </row>
    <row r="9" spans="1:7" ht="25.5" customHeight="1" x14ac:dyDescent="0.2">
      <c r="A9" s="65">
        <v>6</v>
      </c>
      <c r="B9" s="64" t="s">
        <v>115</v>
      </c>
      <c r="C9" s="28" t="s">
        <v>104</v>
      </c>
      <c r="D9" s="28" t="s">
        <v>104</v>
      </c>
      <c r="E9" s="33">
        <v>163991</v>
      </c>
      <c r="F9" s="33">
        <v>142780</v>
      </c>
      <c r="G9" s="33">
        <v>118876</v>
      </c>
    </row>
    <row r="10" spans="1:7" ht="25.5" customHeight="1" x14ac:dyDescent="0.2">
      <c r="A10" s="29">
        <v>7</v>
      </c>
      <c r="B10" s="64" t="s">
        <v>116</v>
      </c>
      <c r="C10" s="28" t="s">
        <v>104</v>
      </c>
      <c r="D10" s="28" t="s">
        <v>104</v>
      </c>
      <c r="E10" s="33">
        <v>1561772</v>
      </c>
      <c r="F10" s="33">
        <v>1656101</v>
      </c>
      <c r="G10" s="33">
        <v>1696951</v>
      </c>
    </row>
    <row r="11" spans="1:7" ht="25.5" customHeight="1" x14ac:dyDescent="0.2">
      <c r="A11" s="65">
        <v>8</v>
      </c>
      <c r="B11" s="64" t="s">
        <v>117</v>
      </c>
      <c r="C11" s="28" t="s">
        <v>104</v>
      </c>
      <c r="D11" s="28" t="s">
        <v>104</v>
      </c>
      <c r="E11" s="33">
        <v>733217</v>
      </c>
      <c r="F11" s="33">
        <v>1113869</v>
      </c>
      <c r="G11" s="33">
        <v>1425437</v>
      </c>
    </row>
    <row r="12" spans="1:7" ht="25.5" customHeight="1" x14ac:dyDescent="0.2">
      <c r="A12" s="29">
        <v>9</v>
      </c>
      <c r="B12" s="64" t="s">
        <v>109</v>
      </c>
      <c r="C12" s="28" t="s">
        <v>107</v>
      </c>
      <c r="D12" s="28" t="s">
        <v>104</v>
      </c>
      <c r="E12" s="33">
        <v>615405</v>
      </c>
      <c r="F12" s="33">
        <v>449342</v>
      </c>
      <c r="G12" s="33">
        <v>549708</v>
      </c>
    </row>
    <row r="13" spans="1:7" ht="25.5" customHeight="1" x14ac:dyDescent="0.2">
      <c r="A13" s="65">
        <v>10</v>
      </c>
      <c r="B13" s="64" t="s">
        <v>110</v>
      </c>
      <c r="C13" s="28" t="s">
        <v>104</v>
      </c>
      <c r="D13" s="28" t="s">
        <v>104</v>
      </c>
      <c r="E13" s="33">
        <v>8010646</v>
      </c>
      <c r="F13" s="33">
        <v>7068581</v>
      </c>
      <c r="G13" s="33">
        <v>6596471</v>
      </c>
    </row>
    <row r="14" spans="1:7" ht="25.5" customHeight="1" x14ac:dyDescent="0.2">
      <c r="A14" s="29">
        <v>11</v>
      </c>
      <c r="B14" s="64" t="s">
        <v>118</v>
      </c>
      <c r="C14" s="28" t="s">
        <v>123</v>
      </c>
      <c r="D14" s="28" t="s">
        <v>104</v>
      </c>
      <c r="E14" s="33">
        <v>0</v>
      </c>
      <c r="F14" s="33">
        <v>9564</v>
      </c>
      <c r="G14" s="33">
        <v>6820</v>
      </c>
    </row>
    <row r="15" spans="1:7" ht="25.5" customHeight="1" x14ac:dyDescent="0.2">
      <c r="A15" s="65">
        <v>12</v>
      </c>
      <c r="B15" s="64" t="s">
        <v>119</v>
      </c>
      <c r="C15" s="28" t="s">
        <v>104</v>
      </c>
      <c r="D15" s="28" t="s">
        <v>104</v>
      </c>
      <c r="E15" s="33">
        <v>0</v>
      </c>
      <c r="F15" s="33">
        <v>3756</v>
      </c>
      <c r="G15" s="33">
        <v>7328</v>
      </c>
    </row>
    <row r="16" spans="1:7" ht="25.5" customHeight="1" x14ac:dyDescent="0.2">
      <c r="A16" s="136" t="s">
        <v>5</v>
      </c>
      <c r="B16" s="136"/>
      <c r="C16" s="136"/>
      <c r="D16" s="28" t="s">
        <v>104</v>
      </c>
      <c r="E16" s="68">
        <f>SUM(E4:E15)</f>
        <v>17014317</v>
      </c>
      <c r="F16" s="68">
        <f t="shared" ref="F16:G16" si="0">SUM(F4:F15)</f>
        <v>16344031</v>
      </c>
      <c r="G16" s="68">
        <f t="shared" si="0"/>
        <v>15747260</v>
      </c>
    </row>
    <row r="17" spans="1:7" s="25" customFormat="1" ht="13.15" customHeight="1" x14ac:dyDescent="0.2">
      <c r="D17" s="41"/>
      <c r="E17" s="27"/>
      <c r="F17" s="27"/>
      <c r="G17" s="27"/>
    </row>
    <row r="18" spans="1:7" s="25" customFormat="1" ht="13.15" customHeight="1" x14ac:dyDescent="0.2">
      <c r="A18" s="14"/>
      <c r="B18" s="14"/>
      <c r="C18" s="14"/>
      <c r="E18" s="42"/>
      <c r="G18" s="43" t="s">
        <v>94</v>
      </c>
    </row>
    <row r="19" spans="1:7" ht="18.75" customHeight="1" x14ac:dyDescent="0.2"/>
    <row r="20" spans="1:7" x14ac:dyDescent="0.2">
      <c r="A20" s="11"/>
      <c r="B20" s="11"/>
      <c r="C20" s="11"/>
      <c r="D20" s="44"/>
    </row>
    <row r="21" spans="1:7" x14ac:dyDescent="0.2">
      <c r="D21" s="45"/>
    </row>
  </sheetData>
  <sortState ref="A4:G15">
    <sortCondition ref="B4:B15"/>
  </sortState>
  <mergeCells count="2">
    <mergeCell ref="A1:G1"/>
    <mergeCell ref="A16:C16"/>
  </mergeCells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5"/>
  <sheetViews>
    <sheetView view="pageBreakPreview" zoomScaleSheetLayoutView="100" workbookViewId="0">
      <selection activeCell="C75" sqref="C75"/>
    </sheetView>
  </sheetViews>
  <sheetFormatPr defaultColWidth="9.140625" defaultRowHeight="11.25" x14ac:dyDescent="0.2"/>
  <cols>
    <col min="1" max="1" width="18.85546875" style="84" customWidth="1"/>
    <col min="2" max="4" width="11.5703125" style="84" customWidth="1"/>
    <col min="5" max="5" width="11" style="84" customWidth="1"/>
    <col min="6" max="6" width="11.28515625" style="84" customWidth="1"/>
    <col min="7" max="7" width="11.5703125" style="84" customWidth="1"/>
    <col min="8" max="16384" width="9.140625" style="84"/>
  </cols>
  <sheetData>
    <row r="1" spans="1:7" ht="60" customHeight="1" x14ac:dyDescent="0.2">
      <c r="A1" s="119" t="s">
        <v>134</v>
      </c>
      <c r="B1" s="119"/>
      <c r="C1" s="119"/>
      <c r="D1" s="119"/>
      <c r="E1" s="119"/>
      <c r="F1" s="119"/>
      <c r="G1" s="119"/>
    </row>
    <row r="2" spans="1:7" s="85" customFormat="1" ht="12.75" customHeight="1" x14ac:dyDescent="0.2">
      <c r="A2" s="85" t="s">
        <v>150</v>
      </c>
      <c r="G2" s="86" t="s">
        <v>45</v>
      </c>
    </row>
    <row r="3" spans="1:7" ht="20.100000000000001" customHeight="1" x14ac:dyDescent="0.2">
      <c r="A3" s="120" t="s">
        <v>0</v>
      </c>
      <c r="B3" s="120" t="s">
        <v>75</v>
      </c>
      <c r="C3" s="120"/>
      <c r="D3" s="120"/>
      <c r="E3" s="120"/>
      <c r="F3" s="120"/>
      <c r="G3" s="120"/>
    </row>
    <row r="4" spans="1:7" s="88" customFormat="1" ht="25.5" customHeight="1" x14ac:dyDescent="0.2">
      <c r="A4" s="120"/>
      <c r="B4" s="87" t="s">
        <v>5</v>
      </c>
      <c r="C4" s="87" t="s">
        <v>49</v>
      </c>
      <c r="D4" s="87" t="s">
        <v>3</v>
      </c>
      <c r="E4" s="87" t="s">
        <v>132</v>
      </c>
      <c r="F4" s="87" t="s">
        <v>4</v>
      </c>
      <c r="G4" s="87" t="s">
        <v>48</v>
      </c>
    </row>
    <row r="5" spans="1:7" ht="25.5" customHeight="1" x14ac:dyDescent="0.2">
      <c r="A5" s="89" t="s">
        <v>57</v>
      </c>
      <c r="B5" s="90">
        <f>SUM(C5:G5)</f>
        <v>6514415</v>
      </c>
      <c r="C5" s="90">
        <f>SUM(C6:C37)</f>
        <v>6339581</v>
      </c>
      <c r="D5" s="90">
        <f>SUM(D6:D37)</f>
        <v>61032</v>
      </c>
      <c r="E5" s="90">
        <f>SUM(E6:E37)</f>
        <v>50194</v>
      </c>
      <c r="F5" s="90">
        <f>SUM(F6:F37)</f>
        <v>2047</v>
      </c>
      <c r="G5" s="91">
        <f>SUM(G6:G37)</f>
        <v>61561</v>
      </c>
    </row>
    <row r="6" spans="1:7" ht="18.2" customHeight="1" x14ac:dyDescent="0.2">
      <c r="A6" s="92" t="s">
        <v>14</v>
      </c>
      <c r="B6" s="93">
        <f>SUM(C6:G6)</f>
        <v>402240</v>
      </c>
      <c r="C6" s="93">
        <v>396786</v>
      </c>
      <c r="D6" s="93">
        <v>2473</v>
      </c>
      <c r="E6" s="93">
        <v>385</v>
      </c>
      <c r="F6" s="93">
        <v>149</v>
      </c>
      <c r="G6" s="93">
        <v>2447</v>
      </c>
    </row>
    <row r="7" spans="1:7" ht="18.2" customHeight="1" x14ac:dyDescent="0.2">
      <c r="A7" s="94" t="s">
        <v>76</v>
      </c>
      <c r="B7" s="93" t="s">
        <v>121</v>
      </c>
      <c r="C7" s="93" t="s">
        <v>121</v>
      </c>
      <c r="D7" s="93" t="s">
        <v>121</v>
      </c>
      <c r="E7" s="93" t="s">
        <v>121</v>
      </c>
      <c r="F7" s="93" t="s">
        <v>121</v>
      </c>
      <c r="G7" s="93" t="s">
        <v>121</v>
      </c>
    </row>
    <row r="8" spans="1:7" ht="18.2" customHeight="1" x14ac:dyDescent="0.2">
      <c r="A8" s="92" t="s">
        <v>21</v>
      </c>
      <c r="B8" s="93">
        <f>SUM(C8:G8)</f>
        <v>606792</v>
      </c>
      <c r="C8" s="93">
        <f>64493+51484+413092+10762+1170+43920</f>
        <v>584921</v>
      </c>
      <c r="D8" s="93">
        <f>1193+546+5848</f>
        <v>7587</v>
      </c>
      <c r="E8" s="93">
        <f>1114+532+6230</f>
        <v>7876</v>
      </c>
      <c r="F8" s="93">
        <v>80</v>
      </c>
      <c r="G8" s="93">
        <f>16+40+672+658+4942</f>
        <v>6328</v>
      </c>
    </row>
    <row r="9" spans="1:7" ht="18.2" customHeight="1" x14ac:dyDescent="0.2">
      <c r="A9" s="92" t="s">
        <v>17</v>
      </c>
      <c r="B9" s="93">
        <f>SUM(C9:G9)</f>
        <v>117693</v>
      </c>
      <c r="C9" s="93">
        <v>116168</v>
      </c>
      <c r="D9" s="93">
        <v>580</v>
      </c>
      <c r="E9" s="93">
        <v>28</v>
      </c>
      <c r="F9" s="93">
        <v>13</v>
      </c>
      <c r="G9" s="93">
        <v>904</v>
      </c>
    </row>
    <row r="10" spans="1:7" ht="18.2" customHeight="1" x14ac:dyDescent="0.2">
      <c r="A10" s="92" t="s">
        <v>26</v>
      </c>
      <c r="B10" s="93">
        <f>SUM(C10:G10)</f>
        <v>269440</v>
      </c>
      <c r="C10" s="93">
        <v>263249</v>
      </c>
      <c r="D10" s="93">
        <v>1755</v>
      </c>
      <c r="E10" s="93">
        <v>1093</v>
      </c>
      <c r="F10" s="93">
        <v>11</v>
      </c>
      <c r="G10" s="93">
        <v>3332</v>
      </c>
    </row>
    <row r="11" spans="1:7" ht="18.2" customHeight="1" x14ac:dyDescent="0.2">
      <c r="A11" s="92" t="s">
        <v>8</v>
      </c>
      <c r="B11" s="93">
        <f>SUM(C11:G11)</f>
        <v>204695</v>
      </c>
      <c r="C11" s="95">
        <f>90671+52617+39920+8399+3577+3266</f>
        <v>198450</v>
      </c>
      <c r="D11" s="93">
        <f>1072+764+461</f>
        <v>2297</v>
      </c>
      <c r="E11" s="93">
        <f>659+578+679</f>
        <v>1916</v>
      </c>
      <c r="F11" s="93">
        <v>5</v>
      </c>
      <c r="G11" s="93">
        <f>25+11+8+972+538+473</f>
        <v>2027</v>
      </c>
    </row>
    <row r="12" spans="1:7" ht="18.2" customHeight="1" x14ac:dyDescent="0.2">
      <c r="A12" s="92" t="s">
        <v>23</v>
      </c>
      <c r="B12" s="93" t="s">
        <v>121</v>
      </c>
      <c r="C12" s="93" t="s">
        <v>121</v>
      </c>
      <c r="D12" s="93" t="s">
        <v>121</v>
      </c>
      <c r="E12" s="93" t="s">
        <v>121</v>
      </c>
      <c r="F12" s="93" t="s">
        <v>121</v>
      </c>
      <c r="G12" s="93" t="s">
        <v>121</v>
      </c>
    </row>
    <row r="13" spans="1:7" ht="18.2" customHeight="1" x14ac:dyDescent="0.2">
      <c r="A13" s="92" t="s">
        <v>19</v>
      </c>
      <c r="B13" s="93">
        <f t="shared" ref="B13:B18" si="0">SUM(C13:G13)</f>
        <v>159242</v>
      </c>
      <c r="C13" s="93">
        <f>65686+68161+11748+8852</f>
        <v>154447</v>
      </c>
      <c r="D13" s="93">
        <f>796+719</f>
        <v>1515</v>
      </c>
      <c r="E13" s="93">
        <f>911+813</f>
        <v>1724</v>
      </c>
      <c r="F13" s="93">
        <v>37</v>
      </c>
      <c r="G13" s="93">
        <f>4+13+526+976</f>
        <v>1519</v>
      </c>
    </row>
    <row r="14" spans="1:7" ht="18.2" customHeight="1" x14ac:dyDescent="0.2">
      <c r="A14" s="92" t="s">
        <v>62</v>
      </c>
      <c r="B14" s="93">
        <f t="shared" si="0"/>
        <v>26368</v>
      </c>
      <c r="C14" s="93">
        <f>12300+11138</f>
        <v>23438</v>
      </c>
      <c r="D14" s="93">
        <v>485</v>
      </c>
      <c r="E14" s="93">
        <v>623</v>
      </c>
      <c r="F14" s="93">
        <v>10</v>
      </c>
      <c r="G14" s="93">
        <f>1806+6</f>
        <v>1812</v>
      </c>
    </row>
    <row r="15" spans="1:7" ht="18.2" customHeight="1" x14ac:dyDescent="0.2">
      <c r="A15" s="92" t="s">
        <v>63</v>
      </c>
      <c r="B15" s="93">
        <f t="shared" si="0"/>
        <v>63834</v>
      </c>
      <c r="C15" s="93">
        <f>57992+4933</f>
        <v>62925</v>
      </c>
      <c r="D15" s="93">
        <v>108</v>
      </c>
      <c r="E15" s="93">
        <v>5</v>
      </c>
      <c r="F15" s="93">
        <v>8</v>
      </c>
      <c r="G15" s="93">
        <v>788</v>
      </c>
    </row>
    <row r="16" spans="1:7" ht="18.2" customHeight="1" x14ac:dyDescent="0.2">
      <c r="A16" s="92" t="s">
        <v>12</v>
      </c>
      <c r="B16" s="93">
        <f t="shared" si="0"/>
        <v>49486</v>
      </c>
      <c r="C16" s="93">
        <f>42514+5521</f>
        <v>48035</v>
      </c>
      <c r="D16" s="93">
        <v>486</v>
      </c>
      <c r="E16" s="93">
        <v>455</v>
      </c>
      <c r="F16" s="93">
        <v>21</v>
      </c>
      <c r="G16" s="93">
        <f>16+473</f>
        <v>489</v>
      </c>
    </row>
    <row r="17" spans="1:7" ht="18.2" customHeight="1" x14ac:dyDescent="0.2">
      <c r="A17" s="92" t="s">
        <v>15</v>
      </c>
      <c r="B17" s="93">
        <f t="shared" si="0"/>
        <v>351020</v>
      </c>
      <c r="C17" s="93">
        <v>344293</v>
      </c>
      <c r="D17" s="93">
        <v>3234</v>
      </c>
      <c r="E17" s="93">
        <v>833</v>
      </c>
      <c r="F17" s="93">
        <v>79</v>
      </c>
      <c r="G17" s="93">
        <v>2581</v>
      </c>
    </row>
    <row r="18" spans="1:7" ht="18.2" customHeight="1" x14ac:dyDescent="0.2">
      <c r="A18" s="92" t="s">
        <v>13</v>
      </c>
      <c r="B18" s="93">
        <f t="shared" si="0"/>
        <v>46466</v>
      </c>
      <c r="C18" s="93">
        <f>41087+2424</f>
        <v>43511</v>
      </c>
      <c r="D18" s="93">
        <v>759</v>
      </c>
      <c r="E18" s="93">
        <v>1560</v>
      </c>
      <c r="F18" s="93" t="s">
        <v>121</v>
      </c>
      <c r="G18" s="93">
        <v>636</v>
      </c>
    </row>
    <row r="19" spans="1:7" ht="18.2" customHeight="1" x14ac:dyDescent="0.2">
      <c r="A19" s="94" t="s">
        <v>77</v>
      </c>
      <c r="B19" s="93" t="s">
        <v>121</v>
      </c>
      <c r="C19" s="93" t="s">
        <v>121</v>
      </c>
      <c r="D19" s="93" t="s">
        <v>121</v>
      </c>
      <c r="E19" s="93" t="s">
        <v>121</v>
      </c>
      <c r="F19" s="93" t="s">
        <v>121</v>
      </c>
      <c r="G19" s="93" t="s">
        <v>121</v>
      </c>
    </row>
    <row r="20" spans="1:7" ht="18.2" customHeight="1" x14ac:dyDescent="0.2">
      <c r="A20" s="92" t="s">
        <v>11</v>
      </c>
      <c r="B20" s="93">
        <f>SUM(C20:G20)</f>
        <v>623164</v>
      </c>
      <c r="C20" s="93">
        <f>50635+58139+427251+9786+4673+51026</f>
        <v>601510</v>
      </c>
      <c r="D20" s="93">
        <f>444+596+5312</f>
        <v>6352</v>
      </c>
      <c r="E20" s="93">
        <f>850+895+7145</f>
        <v>8890</v>
      </c>
      <c r="F20" s="93">
        <f>51+35+311</f>
        <v>397</v>
      </c>
      <c r="G20" s="93">
        <f>16+9+195+684+724+4387</f>
        <v>6015</v>
      </c>
    </row>
    <row r="21" spans="1:7" ht="18.2" customHeight="1" x14ac:dyDescent="0.2">
      <c r="A21" s="92" t="s">
        <v>18</v>
      </c>
      <c r="B21" s="93" t="s">
        <v>121</v>
      </c>
      <c r="C21" s="93" t="s">
        <v>121</v>
      </c>
      <c r="D21" s="93" t="s">
        <v>121</v>
      </c>
      <c r="E21" s="93" t="s">
        <v>121</v>
      </c>
      <c r="F21" s="93" t="s">
        <v>121</v>
      </c>
      <c r="G21" s="93" t="s">
        <v>121</v>
      </c>
    </row>
    <row r="22" spans="1:7" ht="18.2" customHeight="1" x14ac:dyDescent="0.2">
      <c r="A22" s="94" t="s">
        <v>78</v>
      </c>
      <c r="B22" s="93" t="s">
        <v>121</v>
      </c>
      <c r="C22" s="93" t="s">
        <v>121</v>
      </c>
      <c r="D22" s="93" t="s">
        <v>121</v>
      </c>
      <c r="E22" s="93" t="s">
        <v>121</v>
      </c>
      <c r="F22" s="93" t="s">
        <v>121</v>
      </c>
      <c r="G22" s="93" t="s">
        <v>121</v>
      </c>
    </row>
    <row r="23" spans="1:7" ht="18.2" customHeight="1" x14ac:dyDescent="0.2">
      <c r="A23" s="92" t="s">
        <v>22</v>
      </c>
      <c r="B23" s="93">
        <f>SUM(C23:G23)</f>
        <v>96988</v>
      </c>
      <c r="C23" s="93">
        <f>88332+5212</f>
        <v>93544</v>
      </c>
      <c r="D23" s="93">
        <v>1298</v>
      </c>
      <c r="E23" s="93">
        <v>1198</v>
      </c>
      <c r="F23" s="93">
        <v>2</v>
      </c>
      <c r="G23" s="93">
        <v>946</v>
      </c>
    </row>
    <row r="24" spans="1:7" ht="18.2" customHeight="1" x14ac:dyDescent="0.2">
      <c r="A24" s="92" t="s">
        <v>27</v>
      </c>
      <c r="B24" s="93">
        <f>SUM(C24:G24)</f>
        <v>108293</v>
      </c>
      <c r="C24" s="93">
        <f>96773+8326</f>
        <v>105099</v>
      </c>
      <c r="D24" s="93">
        <v>619</v>
      </c>
      <c r="E24" s="93">
        <v>1145</v>
      </c>
      <c r="F24" s="93">
        <v>9</v>
      </c>
      <c r="G24" s="93">
        <f>26+1395</f>
        <v>1421</v>
      </c>
    </row>
    <row r="25" spans="1:7" ht="18.2" customHeight="1" x14ac:dyDescent="0.2">
      <c r="A25" s="92" t="s">
        <v>16</v>
      </c>
      <c r="B25" s="93">
        <f>SUM(C25:G25)</f>
        <v>353092</v>
      </c>
      <c r="C25" s="93">
        <v>348508</v>
      </c>
      <c r="D25" s="93">
        <v>1740</v>
      </c>
      <c r="E25" s="93">
        <v>88</v>
      </c>
      <c r="F25" s="93">
        <v>43</v>
      </c>
      <c r="G25" s="93">
        <v>2713</v>
      </c>
    </row>
    <row r="26" spans="1:7" ht="18.2" customHeight="1" x14ac:dyDescent="0.2">
      <c r="A26" s="92" t="s">
        <v>9</v>
      </c>
      <c r="B26" s="93">
        <f>SUM(C26:G26)</f>
        <v>300209</v>
      </c>
      <c r="C26" s="93">
        <f>264027+28310</f>
        <v>292337</v>
      </c>
      <c r="D26" s="93">
        <v>2878</v>
      </c>
      <c r="E26" s="93">
        <v>2170</v>
      </c>
      <c r="F26" s="93">
        <v>30</v>
      </c>
      <c r="G26" s="93">
        <f>152+2642</f>
        <v>2794</v>
      </c>
    </row>
    <row r="27" spans="1:7" ht="18.2" customHeight="1" x14ac:dyDescent="0.2">
      <c r="A27" s="94" t="s">
        <v>79</v>
      </c>
      <c r="B27" s="93" t="s">
        <v>121</v>
      </c>
      <c r="C27" s="93" t="s">
        <v>121</v>
      </c>
      <c r="D27" s="93" t="s">
        <v>121</v>
      </c>
      <c r="E27" s="93" t="s">
        <v>121</v>
      </c>
      <c r="F27" s="93" t="s">
        <v>121</v>
      </c>
      <c r="G27" s="93" t="s">
        <v>121</v>
      </c>
    </row>
    <row r="28" spans="1:7" ht="18.2" customHeight="1" x14ac:dyDescent="0.2">
      <c r="A28" s="94" t="s">
        <v>81</v>
      </c>
      <c r="B28" s="93" t="s">
        <v>121</v>
      </c>
      <c r="C28" s="93" t="s">
        <v>121</v>
      </c>
      <c r="D28" s="93" t="s">
        <v>121</v>
      </c>
      <c r="E28" s="93" t="s">
        <v>121</v>
      </c>
      <c r="F28" s="93" t="s">
        <v>121</v>
      </c>
      <c r="G28" s="93" t="s">
        <v>121</v>
      </c>
    </row>
    <row r="29" spans="1:7" ht="18.2" customHeight="1" x14ac:dyDescent="0.2">
      <c r="A29" s="92" t="s">
        <v>7</v>
      </c>
      <c r="B29" s="93">
        <f>SUM(C29:G29)</f>
        <v>456451</v>
      </c>
      <c r="C29" s="93">
        <v>439729</v>
      </c>
      <c r="D29" s="93">
        <v>5118</v>
      </c>
      <c r="E29" s="93">
        <v>7191</v>
      </c>
      <c r="F29" s="93">
        <v>350</v>
      </c>
      <c r="G29" s="93">
        <v>4063</v>
      </c>
    </row>
    <row r="30" spans="1:7" ht="18.2" customHeight="1" x14ac:dyDescent="0.2">
      <c r="A30" s="94" t="s">
        <v>80</v>
      </c>
      <c r="B30" s="93">
        <f>SUM(C30:G30)</f>
        <v>0</v>
      </c>
      <c r="C30" s="93" t="s">
        <v>121</v>
      </c>
      <c r="D30" s="93" t="s">
        <v>121</v>
      </c>
      <c r="E30" s="93" t="s">
        <v>121</v>
      </c>
      <c r="F30" s="93" t="s">
        <v>121</v>
      </c>
      <c r="G30" s="93" t="s">
        <v>121</v>
      </c>
    </row>
    <row r="31" spans="1:7" s="85" customFormat="1" ht="18.2" customHeight="1" x14ac:dyDescent="0.2">
      <c r="A31" s="92" t="s">
        <v>6</v>
      </c>
      <c r="B31" s="93">
        <f>SUM(C31:G31)</f>
        <v>1317982</v>
      </c>
      <c r="C31" s="93">
        <v>1284776</v>
      </c>
      <c r="D31" s="93">
        <v>14804</v>
      </c>
      <c r="E31" s="93">
        <v>6817</v>
      </c>
      <c r="F31" s="93">
        <v>772</v>
      </c>
      <c r="G31" s="93">
        <v>10813</v>
      </c>
    </row>
    <row r="32" spans="1:7" s="85" customFormat="1" ht="18.2" customHeight="1" x14ac:dyDescent="0.2">
      <c r="A32" s="94" t="s">
        <v>82</v>
      </c>
      <c r="B32" s="93" t="s">
        <v>121</v>
      </c>
      <c r="C32" s="93" t="s">
        <v>121</v>
      </c>
      <c r="D32" s="93" t="s">
        <v>121</v>
      </c>
      <c r="E32" s="93" t="s">
        <v>121</v>
      </c>
      <c r="F32" s="93" t="s">
        <v>121</v>
      </c>
      <c r="G32" s="93" t="s">
        <v>121</v>
      </c>
    </row>
    <row r="33" spans="1:7" ht="18.2" customHeight="1" x14ac:dyDescent="0.2">
      <c r="A33" s="92" t="s">
        <v>25</v>
      </c>
      <c r="B33" s="93" t="s">
        <v>121</v>
      </c>
      <c r="C33" s="93" t="s">
        <v>121</v>
      </c>
      <c r="D33" s="93" t="s">
        <v>121</v>
      </c>
      <c r="E33" s="93" t="s">
        <v>121</v>
      </c>
      <c r="F33" s="93" t="s">
        <v>121</v>
      </c>
      <c r="G33" s="93" t="s">
        <v>121</v>
      </c>
    </row>
    <row r="34" spans="1:7" ht="18.2" customHeight="1" x14ac:dyDescent="0.2">
      <c r="A34" s="92" t="s">
        <v>10</v>
      </c>
      <c r="B34" s="93">
        <f>SUM(C34:G34)</f>
        <v>418912</v>
      </c>
      <c r="C34" s="93">
        <f>58503+60974+42223+221620+3821+3415+3079+13581</f>
        <v>407216</v>
      </c>
      <c r="D34" s="93">
        <f>503+447+641+2052</f>
        <v>3643</v>
      </c>
      <c r="E34" s="93">
        <f>683+644+446+2452</f>
        <v>4225</v>
      </c>
      <c r="F34" s="93">
        <v>11</v>
      </c>
      <c r="G34" s="93">
        <f>15+7+35+65+545+580+486+2084</f>
        <v>3817</v>
      </c>
    </row>
    <row r="35" spans="1:7" ht="18.2" customHeight="1" x14ac:dyDescent="0.2">
      <c r="A35" s="92" t="s">
        <v>24</v>
      </c>
      <c r="B35" s="93">
        <f>SUM(C35:G35)</f>
        <v>503272</v>
      </c>
      <c r="C35" s="96">
        <v>493038</v>
      </c>
      <c r="D35" s="93">
        <v>2764</v>
      </c>
      <c r="E35" s="93">
        <v>1870</v>
      </c>
      <c r="F35" s="93">
        <v>19</v>
      </c>
      <c r="G35" s="93">
        <v>5581</v>
      </c>
    </row>
    <row r="36" spans="1:7" ht="18.2" customHeight="1" x14ac:dyDescent="0.2">
      <c r="A36" s="92" t="s">
        <v>20</v>
      </c>
      <c r="B36" s="93">
        <f>SUM(C36:G36)</f>
        <v>38776</v>
      </c>
      <c r="C36" s="93">
        <f>33849+3752</f>
        <v>37601</v>
      </c>
      <c r="D36" s="93">
        <v>537</v>
      </c>
      <c r="E36" s="93">
        <v>102</v>
      </c>
      <c r="F36" s="93">
        <v>1</v>
      </c>
      <c r="G36" s="93">
        <v>535</v>
      </c>
    </row>
    <row r="37" spans="1:7" ht="18.2" customHeight="1" x14ac:dyDescent="0.2">
      <c r="A37" s="92" t="s">
        <v>65</v>
      </c>
      <c r="B37" s="93" t="s">
        <v>121</v>
      </c>
      <c r="C37" s="93" t="s">
        <v>121</v>
      </c>
      <c r="D37" s="93" t="s">
        <v>121</v>
      </c>
      <c r="E37" s="93" t="s">
        <v>121</v>
      </c>
      <c r="F37" s="93" t="s">
        <v>121</v>
      </c>
      <c r="G37" s="93" t="s">
        <v>121</v>
      </c>
    </row>
    <row r="38" spans="1:7" ht="12.75" customHeight="1" x14ac:dyDescent="0.2">
      <c r="G38" s="97" t="s">
        <v>133</v>
      </c>
    </row>
    <row r="39" spans="1:7" ht="60" customHeight="1" x14ac:dyDescent="0.2">
      <c r="A39" s="119" t="s">
        <v>134</v>
      </c>
      <c r="B39" s="119"/>
      <c r="C39" s="119"/>
      <c r="D39" s="119"/>
      <c r="E39" s="119"/>
      <c r="F39" s="119"/>
      <c r="G39" s="119"/>
    </row>
    <row r="40" spans="1:7" s="85" customFormat="1" ht="12.75" customHeight="1" x14ac:dyDescent="0.2">
      <c r="A40" s="85" t="s">
        <v>150</v>
      </c>
      <c r="G40" s="86" t="s">
        <v>45</v>
      </c>
    </row>
    <row r="41" spans="1:7" ht="20.100000000000001" customHeight="1" x14ac:dyDescent="0.2">
      <c r="A41" s="120" t="s">
        <v>0</v>
      </c>
      <c r="B41" s="120" t="s">
        <v>87</v>
      </c>
      <c r="C41" s="120"/>
      <c r="D41" s="120"/>
      <c r="E41" s="120"/>
      <c r="F41" s="120"/>
      <c r="G41" s="120"/>
    </row>
    <row r="42" spans="1:7" ht="25.5" customHeight="1" x14ac:dyDescent="0.2">
      <c r="A42" s="120"/>
      <c r="B42" s="87" t="s">
        <v>5</v>
      </c>
      <c r="C42" s="87" t="s">
        <v>49</v>
      </c>
      <c r="D42" s="87" t="s">
        <v>3</v>
      </c>
      <c r="E42" s="87" t="s">
        <v>132</v>
      </c>
      <c r="F42" s="87" t="s">
        <v>4</v>
      </c>
      <c r="G42" s="87" t="s">
        <v>48</v>
      </c>
    </row>
    <row r="43" spans="1:7" ht="25.5" customHeight="1" x14ac:dyDescent="0.2">
      <c r="A43" s="89" t="s">
        <v>57</v>
      </c>
      <c r="B43" s="90">
        <f>SUM(C43:G43)</f>
        <v>6709450</v>
      </c>
      <c r="C43" s="90">
        <f>SUM(C44:C75)</f>
        <v>6539073</v>
      </c>
      <c r="D43" s="90">
        <f>SUM(D44:D75)</f>
        <v>49460</v>
      </c>
      <c r="E43" s="90">
        <f>SUM(E44:E75)</f>
        <v>42950</v>
      </c>
      <c r="F43" s="90">
        <f>SUM(F44:F75)</f>
        <v>1651</v>
      </c>
      <c r="G43" s="91">
        <f>SUM(G44:G75)</f>
        <v>76316</v>
      </c>
    </row>
    <row r="44" spans="1:7" ht="18.2" customHeight="1" x14ac:dyDescent="0.2">
      <c r="A44" s="92" t="s">
        <v>14</v>
      </c>
      <c r="B44" s="93">
        <f>SUM(C44:G44)</f>
        <v>416532</v>
      </c>
      <c r="C44" s="93">
        <v>410468</v>
      </c>
      <c r="D44" s="93">
        <v>1952</v>
      </c>
      <c r="E44" s="93">
        <v>376</v>
      </c>
      <c r="F44" s="93">
        <v>144</v>
      </c>
      <c r="G44" s="93">
        <v>3592</v>
      </c>
    </row>
    <row r="45" spans="1:7" ht="18.2" customHeight="1" x14ac:dyDescent="0.2">
      <c r="A45" s="94" t="s">
        <v>76</v>
      </c>
      <c r="B45" s="93" t="s">
        <v>121</v>
      </c>
      <c r="C45" s="93" t="s">
        <v>121</v>
      </c>
      <c r="D45" s="93" t="s">
        <v>121</v>
      </c>
      <c r="E45" s="93" t="s">
        <v>121</v>
      </c>
      <c r="F45" s="93" t="s">
        <v>121</v>
      </c>
      <c r="G45" s="93" t="s">
        <v>121</v>
      </c>
    </row>
    <row r="46" spans="1:7" ht="18.2" customHeight="1" x14ac:dyDescent="0.2">
      <c r="A46" s="92" t="s">
        <v>21</v>
      </c>
      <c r="B46" s="93">
        <f t="shared" ref="B46:B56" si="1">SUM(C46:G46)</f>
        <v>618924</v>
      </c>
      <c r="C46" s="93">
        <v>596271</v>
      </c>
      <c r="D46" s="93">
        <f>904+339+3868</f>
        <v>5111</v>
      </c>
      <c r="E46" s="93">
        <f>408+527+6138</f>
        <v>7073</v>
      </c>
      <c r="F46" s="93">
        <v>42</v>
      </c>
      <c r="G46" s="93">
        <f>6+1192+936+25+8268</f>
        <v>10427</v>
      </c>
    </row>
    <row r="47" spans="1:7" ht="18.2" customHeight="1" x14ac:dyDescent="0.2">
      <c r="A47" s="92" t="s">
        <v>17</v>
      </c>
      <c r="B47" s="93">
        <f t="shared" si="1"/>
        <v>121663</v>
      </c>
      <c r="C47" s="93">
        <v>119647</v>
      </c>
      <c r="D47" s="93">
        <v>511</v>
      </c>
      <c r="E47" s="93">
        <v>26</v>
      </c>
      <c r="F47" s="93">
        <v>12</v>
      </c>
      <c r="G47" s="93">
        <v>1467</v>
      </c>
    </row>
    <row r="48" spans="1:7" ht="18.2" customHeight="1" x14ac:dyDescent="0.2">
      <c r="A48" s="92" t="s">
        <v>26</v>
      </c>
      <c r="B48" s="93">
        <f t="shared" si="1"/>
        <v>282877</v>
      </c>
      <c r="C48" s="93">
        <v>274896</v>
      </c>
      <c r="D48" s="93">
        <v>1665</v>
      </c>
      <c r="E48" s="93">
        <v>2193</v>
      </c>
      <c r="F48" s="93">
        <v>8</v>
      </c>
      <c r="G48" s="93">
        <v>4115</v>
      </c>
    </row>
    <row r="49" spans="1:7" ht="18.2" customHeight="1" x14ac:dyDescent="0.2">
      <c r="A49" s="92" t="s">
        <v>8</v>
      </c>
      <c r="B49" s="93">
        <f t="shared" si="1"/>
        <v>233337</v>
      </c>
      <c r="C49" s="95">
        <f>97256+53391+62157+8746+3648+3426</f>
        <v>228624</v>
      </c>
      <c r="D49" s="93">
        <v>1820</v>
      </c>
      <c r="E49" s="93">
        <v>1223</v>
      </c>
      <c r="F49" s="93">
        <v>3</v>
      </c>
      <c r="G49" s="93">
        <f>38+1629</f>
        <v>1667</v>
      </c>
    </row>
    <row r="50" spans="1:7" ht="18.2" customHeight="1" x14ac:dyDescent="0.2">
      <c r="A50" s="92" t="s">
        <v>23</v>
      </c>
      <c r="B50" s="93">
        <f t="shared" si="1"/>
        <v>0</v>
      </c>
      <c r="C50" s="93" t="s">
        <v>121</v>
      </c>
      <c r="D50" s="93" t="s">
        <v>121</v>
      </c>
      <c r="E50" s="93" t="s">
        <v>121</v>
      </c>
      <c r="F50" s="93" t="s">
        <v>121</v>
      </c>
      <c r="G50" s="93" t="s">
        <v>121</v>
      </c>
    </row>
    <row r="51" spans="1:7" ht="18.2" customHeight="1" x14ac:dyDescent="0.2">
      <c r="A51" s="92" t="s">
        <v>19</v>
      </c>
      <c r="B51" s="93">
        <f t="shared" si="1"/>
        <v>158253</v>
      </c>
      <c r="C51" s="93">
        <f>66369+69567+11987+9108</f>
        <v>157031</v>
      </c>
      <c r="D51" s="93">
        <v>378</v>
      </c>
      <c r="E51" s="93">
        <v>75</v>
      </c>
      <c r="F51" s="93">
        <v>1</v>
      </c>
      <c r="G51" s="93">
        <v>768</v>
      </c>
    </row>
    <row r="52" spans="1:7" ht="18.2" customHeight="1" x14ac:dyDescent="0.2">
      <c r="A52" s="92" t="s">
        <v>62</v>
      </c>
      <c r="B52" s="93">
        <f t="shared" si="1"/>
        <v>140075</v>
      </c>
      <c r="C52" s="93">
        <f>125156+11739</f>
        <v>136895</v>
      </c>
      <c r="D52" s="93">
        <v>484</v>
      </c>
      <c r="E52" s="93">
        <v>624</v>
      </c>
      <c r="F52" s="93">
        <v>8</v>
      </c>
      <c r="G52" s="93">
        <v>2064</v>
      </c>
    </row>
    <row r="53" spans="1:7" ht="18.2" customHeight="1" x14ac:dyDescent="0.2">
      <c r="A53" s="92" t="s">
        <v>63</v>
      </c>
      <c r="B53" s="93">
        <f t="shared" si="1"/>
        <v>65853</v>
      </c>
      <c r="C53" s="93">
        <f>59591+5158</f>
        <v>64749</v>
      </c>
      <c r="D53" s="93">
        <v>98</v>
      </c>
      <c r="E53" s="93">
        <v>5</v>
      </c>
      <c r="F53" s="93">
        <v>1</v>
      </c>
      <c r="G53" s="93">
        <v>1000</v>
      </c>
    </row>
    <row r="54" spans="1:7" ht="18.2" customHeight="1" x14ac:dyDescent="0.2">
      <c r="A54" s="92" t="s">
        <v>12</v>
      </c>
      <c r="B54" s="93">
        <f t="shared" si="1"/>
        <v>50848</v>
      </c>
      <c r="C54" s="93">
        <f>43748+5620</f>
        <v>49368</v>
      </c>
      <c r="D54" s="93">
        <v>407</v>
      </c>
      <c r="E54" s="93">
        <v>451</v>
      </c>
      <c r="F54" s="93">
        <v>21</v>
      </c>
      <c r="G54" s="93">
        <f>16+585</f>
        <v>601</v>
      </c>
    </row>
    <row r="55" spans="1:7" ht="18.2" customHeight="1" x14ac:dyDescent="0.2">
      <c r="A55" s="92" t="s">
        <v>15</v>
      </c>
      <c r="B55" s="93">
        <f t="shared" si="1"/>
        <v>364970</v>
      </c>
      <c r="C55" s="93">
        <v>357598</v>
      </c>
      <c r="D55" s="93">
        <v>2643</v>
      </c>
      <c r="E55" s="93">
        <v>833</v>
      </c>
      <c r="F55" s="93">
        <v>76</v>
      </c>
      <c r="G55" s="93">
        <v>3820</v>
      </c>
    </row>
    <row r="56" spans="1:7" ht="18.2" customHeight="1" x14ac:dyDescent="0.2">
      <c r="A56" s="92" t="s">
        <v>13</v>
      </c>
      <c r="B56" s="93">
        <f t="shared" si="1"/>
        <v>47289</v>
      </c>
      <c r="C56" s="93">
        <f>42293+2442</f>
        <v>44735</v>
      </c>
      <c r="D56" s="93">
        <v>230</v>
      </c>
      <c r="E56" s="93">
        <v>1556</v>
      </c>
      <c r="F56" s="93" t="s">
        <v>121</v>
      </c>
      <c r="G56" s="93">
        <v>768</v>
      </c>
    </row>
    <row r="57" spans="1:7" ht="18.2" customHeight="1" x14ac:dyDescent="0.2">
      <c r="A57" s="94" t="s">
        <v>77</v>
      </c>
      <c r="B57" s="93" t="s">
        <v>121</v>
      </c>
      <c r="C57" s="93" t="s">
        <v>121</v>
      </c>
      <c r="D57" s="93" t="s">
        <v>121</v>
      </c>
      <c r="E57" s="93" t="s">
        <v>121</v>
      </c>
      <c r="F57" s="93" t="s">
        <v>121</v>
      </c>
      <c r="G57" s="93" t="s">
        <v>121</v>
      </c>
    </row>
    <row r="58" spans="1:7" ht="18.2" customHeight="1" x14ac:dyDescent="0.2">
      <c r="A58" s="92" t="s">
        <v>11</v>
      </c>
      <c r="B58" s="93">
        <f>SUM(C58:G58)</f>
        <v>133637</v>
      </c>
      <c r="C58" s="93">
        <f>52986+61014+10121+4944</f>
        <v>129065</v>
      </c>
      <c r="D58" s="93">
        <v>1028</v>
      </c>
      <c r="E58" s="93">
        <v>1748</v>
      </c>
      <c r="F58" s="93">
        <v>85</v>
      </c>
      <c r="G58" s="93">
        <f>25+1686</f>
        <v>1711</v>
      </c>
    </row>
    <row r="59" spans="1:7" ht="18.2" customHeight="1" x14ac:dyDescent="0.2">
      <c r="A59" s="92" t="s">
        <v>18</v>
      </c>
      <c r="B59" s="93">
        <f>SUM(C59:G59)</f>
        <v>0</v>
      </c>
      <c r="C59" s="93" t="s">
        <v>121</v>
      </c>
      <c r="D59" s="93" t="s">
        <v>121</v>
      </c>
      <c r="E59" s="93" t="s">
        <v>121</v>
      </c>
      <c r="F59" s="93" t="s">
        <v>121</v>
      </c>
      <c r="G59" s="93" t="s">
        <v>121</v>
      </c>
    </row>
    <row r="60" spans="1:7" ht="18.2" customHeight="1" x14ac:dyDescent="0.2">
      <c r="A60" s="94" t="s">
        <v>78</v>
      </c>
      <c r="B60" s="93" t="s">
        <v>121</v>
      </c>
      <c r="C60" s="93" t="s">
        <v>121</v>
      </c>
      <c r="D60" s="93" t="s">
        <v>121</v>
      </c>
      <c r="E60" s="93" t="s">
        <v>121</v>
      </c>
      <c r="F60" s="93" t="s">
        <v>121</v>
      </c>
      <c r="G60" s="93" t="s">
        <v>121</v>
      </c>
    </row>
    <row r="61" spans="1:7" ht="18.2" customHeight="1" x14ac:dyDescent="0.2">
      <c r="A61" s="92" t="s">
        <v>22</v>
      </c>
      <c r="B61" s="93">
        <f>SUM(C61:G61)</f>
        <v>99214</v>
      </c>
      <c r="C61" s="93">
        <f>90236+5305</f>
        <v>95541</v>
      </c>
      <c r="D61" s="93">
        <v>761</v>
      </c>
      <c r="E61" s="93">
        <v>1192</v>
      </c>
      <c r="F61" s="93">
        <v>2</v>
      </c>
      <c r="G61" s="93">
        <v>1718</v>
      </c>
    </row>
    <row r="62" spans="1:7" ht="18.2" customHeight="1" x14ac:dyDescent="0.2">
      <c r="A62" s="92" t="s">
        <v>27</v>
      </c>
      <c r="B62" s="93">
        <f>SUM(C62:G62)</f>
        <v>114099</v>
      </c>
      <c r="C62" s="93">
        <f>101776+8777</f>
        <v>110553</v>
      </c>
      <c r="D62" s="93">
        <v>593</v>
      </c>
      <c r="E62" s="93">
        <v>1143</v>
      </c>
      <c r="F62" s="93">
        <v>9</v>
      </c>
      <c r="G62" s="93">
        <f>23+1778</f>
        <v>1801</v>
      </c>
    </row>
    <row r="63" spans="1:7" ht="18.2" customHeight="1" x14ac:dyDescent="0.2">
      <c r="A63" s="92" t="s">
        <v>16</v>
      </c>
      <c r="B63" s="93">
        <f>SUM(C63:G63)</f>
        <v>364953</v>
      </c>
      <c r="C63" s="93">
        <v>358894</v>
      </c>
      <c r="D63" s="93">
        <v>1533</v>
      </c>
      <c r="E63" s="93">
        <v>80</v>
      </c>
      <c r="F63" s="93">
        <v>42</v>
      </c>
      <c r="G63" s="93">
        <v>4404</v>
      </c>
    </row>
    <row r="64" spans="1:7" ht="18.2" customHeight="1" x14ac:dyDescent="0.2">
      <c r="A64" s="92" t="s">
        <v>9</v>
      </c>
      <c r="B64" s="93">
        <f>SUM(C64:G64)</f>
        <v>630034</v>
      </c>
      <c r="C64" s="93">
        <f>103747+100430+72763+276940+58960</f>
        <v>612840</v>
      </c>
      <c r="D64" s="93">
        <v>5452</v>
      </c>
      <c r="E64" s="93">
        <v>4288</v>
      </c>
      <c r="F64" s="93">
        <v>60</v>
      </c>
      <c r="G64" s="93">
        <f>288+7106</f>
        <v>7394</v>
      </c>
    </row>
    <row r="65" spans="1:7" ht="18.2" customHeight="1" x14ac:dyDescent="0.2">
      <c r="A65" s="94" t="s">
        <v>79</v>
      </c>
      <c r="B65" s="93" t="s">
        <v>121</v>
      </c>
      <c r="C65" s="93" t="s">
        <v>121</v>
      </c>
      <c r="D65" s="93" t="s">
        <v>121</v>
      </c>
      <c r="E65" s="93" t="s">
        <v>121</v>
      </c>
      <c r="F65" s="93" t="s">
        <v>121</v>
      </c>
      <c r="G65" s="93" t="s">
        <v>121</v>
      </c>
    </row>
    <row r="66" spans="1:7" ht="18.2" customHeight="1" x14ac:dyDescent="0.2">
      <c r="A66" s="94" t="s">
        <v>81</v>
      </c>
      <c r="B66" s="93" t="s">
        <v>121</v>
      </c>
      <c r="C66" s="93" t="s">
        <v>121</v>
      </c>
      <c r="D66" s="93" t="s">
        <v>121</v>
      </c>
      <c r="E66" s="93" t="s">
        <v>121</v>
      </c>
      <c r="F66" s="93" t="s">
        <v>121</v>
      </c>
      <c r="G66" s="93" t="s">
        <v>121</v>
      </c>
    </row>
    <row r="67" spans="1:7" ht="18.2" customHeight="1" x14ac:dyDescent="0.2">
      <c r="A67" s="92" t="s">
        <v>7</v>
      </c>
      <c r="B67" s="93">
        <f>SUM(C67:G67)</f>
        <v>481482</v>
      </c>
      <c r="C67" s="93">
        <v>463725</v>
      </c>
      <c r="D67" s="93">
        <v>5101</v>
      </c>
      <c r="E67" s="93">
        <v>7191</v>
      </c>
      <c r="F67" s="93">
        <v>347</v>
      </c>
      <c r="G67" s="93">
        <v>5118</v>
      </c>
    </row>
    <row r="68" spans="1:7" ht="18.2" customHeight="1" x14ac:dyDescent="0.2">
      <c r="A68" s="94" t="s">
        <v>80</v>
      </c>
      <c r="B68" s="93" t="s">
        <v>121</v>
      </c>
      <c r="C68" s="93" t="s">
        <v>121</v>
      </c>
      <c r="D68" s="93" t="s">
        <v>121</v>
      </c>
      <c r="E68" s="93" t="s">
        <v>121</v>
      </c>
      <c r="F68" s="93" t="s">
        <v>121</v>
      </c>
      <c r="G68" s="93" t="s">
        <v>121</v>
      </c>
    </row>
    <row r="69" spans="1:7" ht="18.2" customHeight="1" x14ac:dyDescent="0.2">
      <c r="A69" s="92" t="s">
        <v>6</v>
      </c>
      <c r="B69" s="93">
        <f>SUM(C69:G69)</f>
        <v>1386720</v>
      </c>
      <c r="C69" s="93">
        <v>1352806</v>
      </c>
      <c r="D69" s="93">
        <v>13411</v>
      </c>
      <c r="E69" s="93">
        <v>6780</v>
      </c>
      <c r="F69" s="93">
        <v>767</v>
      </c>
      <c r="G69" s="93">
        <v>12956</v>
      </c>
    </row>
    <row r="70" spans="1:7" ht="18.2" customHeight="1" x14ac:dyDescent="0.2">
      <c r="A70" s="94" t="s">
        <v>82</v>
      </c>
      <c r="B70" s="93" t="s">
        <v>121</v>
      </c>
      <c r="C70" s="93" t="s">
        <v>121</v>
      </c>
      <c r="D70" s="93" t="s">
        <v>121</v>
      </c>
      <c r="E70" s="93" t="s">
        <v>121</v>
      </c>
      <c r="F70" s="93" t="s">
        <v>121</v>
      </c>
      <c r="G70" s="93" t="s">
        <v>121</v>
      </c>
    </row>
    <row r="71" spans="1:7" ht="18.2" customHeight="1" x14ac:dyDescent="0.2">
      <c r="A71" s="92" t="s">
        <v>25</v>
      </c>
      <c r="B71" s="93">
        <f>SUM(C71:G71)</f>
        <v>0</v>
      </c>
      <c r="C71" s="93" t="s">
        <v>121</v>
      </c>
      <c r="D71" s="93" t="s">
        <v>121</v>
      </c>
      <c r="E71" s="93" t="s">
        <v>121</v>
      </c>
      <c r="F71" s="93" t="s">
        <v>121</v>
      </c>
      <c r="G71" s="93" t="s">
        <v>121</v>
      </c>
    </row>
    <row r="72" spans="1:7" ht="18.2" customHeight="1" x14ac:dyDescent="0.2">
      <c r="A72" s="92" t="s">
        <v>10</v>
      </c>
      <c r="B72" s="93">
        <f>SUM(C72:G72)</f>
        <v>432658</v>
      </c>
      <c r="C72" s="93">
        <f>397531+24852</f>
        <v>422383</v>
      </c>
      <c r="D72" s="93">
        <f>486+450+367+2030</f>
        <v>3333</v>
      </c>
      <c r="E72" s="93">
        <f>682+615+442+2385</f>
        <v>4124</v>
      </c>
      <c r="F72" s="93">
        <v>6</v>
      </c>
      <c r="G72" s="93">
        <f>67+2745</f>
        <v>2812</v>
      </c>
    </row>
    <row r="73" spans="1:7" ht="18.2" customHeight="1" x14ac:dyDescent="0.2">
      <c r="A73" s="92" t="s">
        <v>24</v>
      </c>
      <c r="B73" s="93">
        <f>SUM(C73:G73)</f>
        <v>526878</v>
      </c>
      <c r="C73" s="96">
        <v>515052</v>
      </c>
      <c r="D73" s="93">
        <v>2571</v>
      </c>
      <c r="E73" s="93">
        <v>1894</v>
      </c>
      <c r="F73" s="93">
        <v>16</v>
      </c>
      <c r="G73" s="93">
        <v>7345</v>
      </c>
    </row>
    <row r="74" spans="1:7" ht="18.2" customHeight="1" x14ac:dyDescent="0.2">
      <c r="A74" s="92" t="s">
        <v>20</v>
      </c>
      <c r="B74" s="93">
        <f>SUM(C74:G74)</f>
        <v>39154</v>
      </c>
      <c r="C74" s="93">
        <f>34141+3791</f>
        <v>37932</v>
      </c>
      <c r="D74" s="93">
        <v>378</v>
      </c>
      <c r="E74" s="93">
        <v>75</v>
      </c>
      <c r="F74" s="93">
        <v>1</v>
      </c>
      <c r="G74" s="93">
        <v>768</v>
      </c>
    </row>
    <row r="75" spans="1:7" ht="18.2" customHeight="1" x14ac:dyDescent="0.2">
      <c r="A75" s="92" t="s">
        <v>65</v>
      </c>
      <c r="B75" s="93" t="s">
        <v>121</v>
      </c>
      <c r="C75" s="93" t="s">
        <v>121</v>
      </c>
      <c r="D75" s="93" t="s">
        <v>121</v>
      </c>
      <c r="E75" s="93" t="s">
        <v>121</v>
      </c>
      <c r="F75" s="93" t="s">
        <v>121</v>
      </c>
      <c r="G75" s="93" t="s">
        <v>121</v>
      </c>
    </row>
    <row r="76" spans="1:7" ht="12" x14ac:dyDescent="0.2">
      <c r="G76" s="102" t="s">
        <v>133</v>
      </c>
    </row>
    <row r="77" spans="1:7" ht="60" customHeight="1" x14ac:dyDescent="0.2">
      <c r="A77" s="119" t="s">
        <v>134</v>
      </c>
      <c r="B77" s="119"/>
      <c r="C77" s="119"/>
      <c r="D77" s="119"/>
      <c r="E77" s="119"/>
      <c r="F77" s="119"/>
      <c r="G77" s="119"/>
    </row>
    <row r="78" spans="1:7" s="85" customFormat="1" ht="12" x14ac:dyDescent="0.2">
      <c r="A78" s="85" t="s">
        <v>150</v>
      </c>
      <c r="G78" s="86" t="s">
        <v>45</v>
      </c>
    </row>
    <row r="79" spans="1:7" ht="20.100000000000001" customHeight="1" x14ac:dyDescent="0.2">
      <c r="A79" s="120" t="s">
        <v>0</v>
      </c>
      <c r="B79" s="120" t="s">
        <v>92</v>
      </c>
      <c r="C79" s="120"/>
      <c r="D79" s="120"/>
      <c r="E79" s="120"/>
      <c r="F79" s="120"/>
      <c r="G79" s="120"/>
    </row>
    <row r="80" spans="1:7" ht="25.5" customHeight="1" x14ac:dyDescent="0.2">
      <c r="A80" s="120"/>
      <c r="B80" s="87" t="s">
        <v>5</v>
      </c>
      <c r="C80" s="87" t="s">
        <v>49</v>
      </c>
      <c r="D80" s="87" t="s">
        <v>3</v>
      </c>
      <c r="E80" s="87" t="s">
        <v>132</v>
      </c>
      <c r="F80" s="87" t="s">
        <v>4</v>
      </c>
      <c r="G80" s="87" t="s">
        <v>48</v>
      </c>
    </row>
    <row r="81" spans="1:7" ht="25.5" customHeight="1" x14ac:dyDescent="0.2">
      <c r="A81" s="89" t="s">
        <v>57</v>
      </c>
      <c r="B81" s="90">
        <f t="shared" ref="B81:B113" si="2">SUM(C81:G81)</f>
        <v>7281499</v>
      </c>
      <c r="C81" s="90">
        <f>SUM(C82:C113)</f>
        <v>7099745</v>
      </c>
      <c r="D81" s="90">
        <f t="shared" ref="D81:G81" si="3">SUM(D82:D113)</f>
        <v>52702</v>
      </c>
      <c r="E81" s="90">
        <f t="shared" si="3"/>
        <v>44947</v>
      </c>
      <c r="F81" s="90">
        <f t="shared" si="3"/>
        <v>1640</v>
      </c>
      <c r="G81" s="91">
        <f t="shared" si="3"/>
        <v>82465</v>
      </c>
    </row>
    <row r="82" spans="1:7" ht="18.2" customHeight="1" x14ac:dyDescent="0.2">
      <c r="A82" s="92" t="s">
        <v>14</v>
      </c>
      <c r="B82" s="93">
        <f t="shared" si="2"/>
        <v>434368</v>
      </c>
      <c r="C82" s="93">
        <v>428049</v>
      </c>
      <c r="D82" s="93">
        <v>1962</v>
      </c>
      <c r="E82" s="93">
        <v>381</v>
      </c>
      <c r="F82" s="93">
        <v>99</v>
      </c>
      <c r="G82" s="93">
        <v>3877</v>
      </c>
    </row>
    <row r="83" spans="1:7" ht="18.2" customHeight="1" x14ac:dyDescent="0.2">
      <c r="A83" s="94" t="s">
        <v>76</v>
      </c>
      <c r="B83" s="93" t="s">
        <v>121</v>
      </c>
      <c r="C83" s="93" t="s">
        <v>121</v>
      </c>
      <c r="D83" s="93" t="s">
        <v>121</v>
      </c>
      <c r="E83" s="93" t="s">
        <v>121</v>
      </c>
      <c r="F83" s="93" t="s">
        <v>121</v>
      </c>
      <c r="G83" s="93" t="s">
        <v>121</v>
      </c>
    </row>
    <row r="84" spans="1:7" ht="18.2" customHeight="1" x14ac:dyDescent="0.2">
      <c r="A84" s="92" t="s">
        <v>21</v>
      </c>
      <c r="B84" s="93">
        <f t="shared" si="2"/>
        <v>633151</v>
      </c>
      <c r="C84" s="93">
        <v>609453</v>
      </c>
      <c r="D84" s="93">
        <v>5099</v>
      </c>
      <c r="E84" s="93">
        <v>7779</v>
      </c>
      <c r="F84" s="93">
        <v>41</v>
      </c>
      <c r="G84" s="93">
        <v>10779</v>
      </c>
    </row>
    <row r="85" spans="1:7" ht="18.2" customHeight="1" x14ac:dyDescent="0.2">
      <c r="A85" s="92" t="s">
        <v>17</v>
      </c>
      <c r="B85" s="93">
        <f t="shared" si="2"/>
        <v>360958</v>
      </c>
      <c r="C85" s="93">
        <v>358894</v>
      </c>
      <c r="D85" s="93">
        <v>515</v>
      </c>
      <c r="E85" s="93">
        <v>26</v>
      </c>
      <c r="F85" s="93">
        <v>13</v>
      </c>
      <c r="G85" s="93">
        <v>1510</v>
      </c>
    </row>
    <row r="86" spans="1:7" ht="18.2" customHeight="1" x14ac:dyDescent="0.2">
      <c r="A86" s="92" t="s">
        <v>26</v>
      </c>
      <c r="B86" s="93">
        <f t="shared" si="2"/>
        <v>283874</v>
      </c>
      <c r="C86" s="93">
        <v>276976</v>
      </c>
      <c r="D86" s="93">
        <v>1673</v>
      </c>
      <c r="E86" s="93">
        <v>1094</v>
      </c>
      <c r="F86" s="93">
        <v>8</v>
      </c>
      <c r="G86" s="93">
        <v>4123</v>
      </c>
    </row>
    <row r="87" spans="1:7" ht="18.2" customHeight="1" x14ac:dyDescent="0.2">
      <c r="A87" s="92" t="s">
        <v>8</v>
      </c>
      <c r="B87" s="93">
        <f t="shared" si="2"/>
        <v>249504</v>
      </c>
      <c r="C87" s="95">
        <v>242966</v>
      </c>
      <c r="D87" s="93">
        <v>2284</v>
      </c>
      <c r="E87" s="93">
        <v>1852</v>
      </c>
      <c r="F87" s="93">
        <v>4</v>
      </c>
      <c r="G87" s="93">
        <v>2398</v>
      </c>
    </row>
    <row r="88" spans="1:7" ht="18.2" customHeight="1" x14ac:dyDescent="0.2">
      <c r="A88" s="92" t="s">
        <v>23</v>
      </c>
      <c r="B88" s="93">
        <f t="shared" si="2"/>
        <v>0</v>
      </c>
      <c r="C88" s="93" t="s">
        <v>121</v>
      </c>
      <c r="D88" s="93" t="s">
        <v>121</v>
      </c>
      <c r="E88" s="93" t="s">
        <v>121</v>
      </c>
      <c r="F88" s="93" t="s">
        <v>121</v>
      </c>
      <c r="G88" s="93" t="s">
        <v>121</v>
      </c>
    </row>
    <row r="89" spans="1:7" ht="18.2" customHeight="1" x14ac:dyDescent="0.2">
      <c r="A89" s="92" t="s">
        <v>19</v>
      </c>
      <c r="B89" s="93">
        <f t="shared" si="2"/>
        <v>166622</v>
      </c>
      <c r="C89" s="93">
        <v>161234</v>
      </c>
      <c r="D89" s="93">
        <v>1241</v>
      </c>
      <c r="E89" s="93">
        <v>1671</v>
      </c>
      <c r="F89" s="93">
        <v>34</v>
      </c>
      <c r="G89" s="93">
        <v>2442</v>
      </c>
    </row>
    <row r="90" spans="1:7" ht="18.2" customHeight="1" x14ac:dyDescent="0.2">
      <c r="A90" s="92" t="s">
        <v>62</v>
      </c>
      <c r="B90" s="93">
        <f t="shared" si="2"/>
        <v>148187</v>
      </c>
      <c r="C90" s="93">
        <v>144975</v>
      </c>
      <c r="D90" s="93">
        <v>504</v>
      </c>
      <c r="E90" s="93">
        <v>625</v>
      </c>
      <c r="F90" s="93">
        <v>8</v>
      </c>
      <c r="G90" s="93">
        <v>2075</v>
      </c>
    </row>
    <row r="91" spans="1:7" ht="18.2" customHeight="1" x14ac:dyDescent="0.2">
      <c r="A91" s="92" t="s">
        <v>63</v>
      </c>
      <c r="B91" s="93">
        <f t="shared" si="2"/>
        <v>69025</v>
      </c>
      <c r="C91" s="93">
        <v>67873</v>
      </c>
      <c r="D91" s="93">
        <v>100</v>
      </c>
      <c r="E91" s="93">
        <v>5</v>
      </c>
      <c r="F91" s="93">
        <v>1</v>
      </c>
      <c r="G91" s="93">
        <v>1046</v>
      </c>
    </row>
    <row r="92" spans="1:7" ht="18.2" customHeight="1" x14ac:dyDescent="0.2">
      <c r="A92" s="92" t="s">
        <v>12</v>
      </c>
      <c r="B92" s="93">
        <f t="shared" si="2"/>
        <v>52033</v>
      </c>
      <c r="C92" s="93">
        <v>50539</v>
      </c>
      <c r="D92" s="93">
        <v>409</v>
      </c>
      <c r="E92" s="93">
        <v>450</v>
      </c>
      <c r="F92" s="93">
        <v>21</v>
      </c>
      <c r="G92" s="93">
        <v>614</v>
      </c>
    </row>
    <row r="93" spans="1:7" ht="18.2" customHeight="1" x14ac:dyDescent="0.2">
      <c r="A93" s="92" t="s">
        <v>15</v>
      </c>
      <c r="B93" s="93">
        <f t="shared" si="2"/>
        <v>378525</v>
      </c>
      <c r="C93" s="93">
        <v>370998</v>
      </c>
      <c r="D93" s="93">
        <v>2651</v>
      </c>
      <c r="E93" s="93">
        <v>841</v>
      </c>
      <c r="F93" s="93">
        <v>76</v>
      </c>
      <c r="G93" s="93">
        <v>3959</v>
      </c>
    </row>
    <row r="94" spans="1:7" ht="18.2" customHeight="1" x14ac:dyDescent="0.2">
      <c r="A94" s="92" t="s">
        <v>13</v>
      </c>
      <c r="B94" s="93">
        <f t="shared" si="2"/>
        <v>49302</v>
      </c>
      <c r="C94" s="93">
        <v>46161</v>
      </c>
      <c r="D94" s="93">
        <v>232</v>
      </c>
      <c r="E94" s="93">
        <v>1556</v>
      </c>
      <c r="F94" s="93" t="s">
        <v>121</v>
      </c>
      <c r="G94" s="93">
        <v>1353</v>
      </c>
    </row>
    <row r="95" spans="1:7" ht="18.2" customHeight="1" x14ac:dyDescent="0.2">
      <c r="A95" s="94" t="s">
        <v>77</v>
      </c>
      <c r="B95" s="93">
        <f t="shared" si="2"/>
        <v>0</v>
      </c>
      <c r="C95" s="93" t="s">
        <v>121</v>
      </c>
      <c r="D95" s="93" t="s">
        <v>121</v>
      </c>
      <c r="E95" s="93" t="s">
        <v>121</v>
      </c>
      <c r="F95" s="93" t="s">
        <v>121</v>
      </c>
      <c r="G95" s="93" t="s">
        <v>121</v>
      </c>
    </row>
    <row r="96" spans="1:7" ht="18.2" customHeight="1" x14ac:dyDescent="0.2">
      <c r="A96" s="92" t="s">
        <v>11</v>
      </c>
      <c r="B96" s="93">
        <f t="shared" si="2"/>
        <v>137596</v>
      </c>
      <c r="C96" s="93">
        <v>133037</v>
      </c>
      <c r="D96" s="93">
        <v>1033</v>
      </c>
      <c r="E96" s="93">
        <v>1748</v>
      </c>
      <c r="F96" s="93">
        <v>85</v>
      </c>
      <c r="G96" s="93">
        <v>1693</v>
      </c>
    </row>
    <row r="97" spans="1:7" ht="18.2" customHeight="1" x14ac:dyDescent="0.2">
      <c r="A97" s="92" t="s">
        <v>18</v>
      </c>
      <c r="B97" s="93">
        <f t="shared" si="2"/>
        <v>0</v>
      </c>
      <c r="C97" s="93" t="s">
        <v>121</v>
      </c>
      <c r="D97" s="93" t="s">
        <v>121</v>
      </c>
      <c r="E97" s="93" t="s">
        <v>121</v>
      </c>
      <c r="F97" s="93" t="s">
        <v>121</v>
      </c>
      <c r="G97" s="93" t="s">
        <v>121</v>
      </c>
    </row>
    <row r="98" spans="1:7" ht="18.2" customHeight="1" x14ac:dyDescent="0.2">
      <c r="A98" s="94" t="s">
        <v>78</v>
      </c>
      <c r="B98" s="93">
        <f t="shared" si="2"/>
        <v>0</v>
      </c>
      <c r="C98" s="93" t="s">
        <v>121</v>
      </c>
      <c r="D98" s="93" t="s">
        <v>121</v>
      </c>
      <c r="E98" s="93" t="s">
        <v>121</v>
      </c>
      <c r="F98" s="93" t="s">
        <v>121</v>
      </c>
      <c r="G98" s="93" t="s">
        <v>121</v>
      </c>
    </row>
    <row r="99" spans="1:7" ht="18.2" customHeight="1" x14ac:dyDescent="0.2">
      <c r="A99" s="92" t="s">
        <v>22</v>
      </c>
      <c r="B99" s="93">
        <f t="shared" si="2"/>
        <v>101407</v>
      </c>
      <c r="C99" s="93">
        <v>97693</v>
      </c>
      <c r="D99" s="93">
        <v>764</v>
      </c>
      <c r="E99" s="93">
        <v>1207</v>
      </c>
      <c r="F99" s="93">
        <v>2</v>
      </c>
      <c r="G99" s="93">
        <v>1741</v>
      </c>
    </row>
    <row r="100" spans="1:7" ht="18.2" customHeight="1" x14ac:dyDescent="0.2">
      <c r="A100" s="92" t="s">
        <v>27</v>
      </c>
      <c r="B100" s="93">
        <f t="shared" si="2"/>
        <v>122184</v>
      </c>
      <c r="C100" s="93">
        <v>118581</v>
      </c>
      <c r="D100" s="93">
        <v>619</v>
      </c>
      <c r="E100" s="93">
        <v>1145</v>
      </c>
      <c r="F100" s="93">
        <v>9</v>
      </c>
      <c r="G100" s="93">
        <v>1830</v>
      </c>
    </row>
    <row r="101" spans="1:7" ht="18.2" customHeight="1" x14ac:dyDescent="0.2">
      <c r="A101" s="92" t="s">
        <v>16</v>
      </c>
      <c r="B101" s="93">
        <f t="shared" si="2"/>
        <v>381471</v>
      </c>
      <c r="C101" s="93">
        <v>375269</v>
      </c>
      <c r="D101" s="93">
        <v>1547</v>
      </c>
      <c r="E101" s="93">
        <v>80</v>
      </c>
      <c r="F101" s="93">
        <v>41</v>
      </c>
      <c r="G101" s="93">
        <v>4534</v>
      </c>
    </row>
    <row r="102" spans="1:7" ht="18.2" customHeight="1" x14ac:dyDescent="0.2">
      <c r="A102" s="92" t="s">
        <v>9</v>
      </c>
      <c r="B102" s="93">
        <f t="shared" si="2"/>
        <v>665800</v>
      </c>
      <c r="C102" s="93">
        <v>648226</v>
      </c>
      <c r="D102" s="93">
        <v>5534</v>
      </c>
      <c r="E102" s="93">
        <v>4332</v>
      </c>
      <c r="F102" s="93">
        <v>60</v>
      </c>
      <c r="G102" s="93">
        <v>7648</v>
      </c>
    </row>
    <row r="103" spans="1:7" ht="18.2" customHeight="1" x14ac:dyDescent="0.2">
      <c r="A103" s="94" t="s">
        <v>79</v>
      </c>
      <c r="B103" s="93">
        <f t="shared" si="2"/>
        <v>0</v>
      </c>
      <c r="C103" s="93" t="s">
        <v>121</v>
      </c>
      <c r="D103" s="93" t="s">
        <v>121</v>
      </c>
      <c r="E103" s="93" t="s">
        <v>121</v>
      </c>
      <c r="F103" s="93" t="s">
        <v>121</v>
      </c>
      <c r="G103" s="93" t="s">
        <v>121</v>
      </c>
    </row>
    <row r="104" spans="1:7" ht="18.2" customHeight="1" x14ac:dyDescent="0.2">
      <c r="A104" s="94" t="s">
        <v>81</v>
      </c>
      <c r="B104" s="93">
        <f t="shared" si="2"/>
        <v>0</v>
      </c>
      <c r="C104" s="93" t="s">
        <v>121</v>
      </c>
      <c r="D104" s="93" t="s">
        <v>121</v>
      </c>
      <c r="E104" s="93" t="s">
        <v>121</v>
      </c>
      <c r="F104" s="93" t="s">
        <v>121</v>
      </c>
      <c r="G104" s="93" t="s">
        <v>121</v>
      </c>
    </row>
    <row r="105" spans="1:7" ht="18.2" customHeight="1" x14ac:dyDescent="0.2">
      <c r="A105" s="92" t="s">
        <v>7</v>
      </c>
      <c r="B105" s="93">
        <f t="shared" si="2"/>
        <v>512119</v>
      </c>
      <c r="C105" s="93">
        <v>494218</v>
      </c>
      <c r="D105" s="93">
        <v>5200</v>
      </c>
      <c r="E105" s="93">
        <v>7207</v>
      </c>
      <c r="F105" s="93">
        <v>348</v>
      </c>
      <c r="G105" s="93">
        <v>5146</v>
      </c>
    </row>
    <row r="106" spans="1:7" ht="18.2" customHeight="1" x14ac:dyDescent="0.2">
      <c r="A106" s="94" t="s">
        <v>80</v>
      </c>
      <c r="B106" s="93">
        <f t="shared" si="2"/>
        <v>0</v>
      </c>
      <c r="C106" s="93" t="s">
        <v>121</v>
      </c>
      <c r="D106" s="93" t="s">
        <v>121</v>
      </c>
      <c r="E106" s="93" t="s">
        <v>121</v>
      </c>
      <c r="F106" s="93" t="s">
        <v>121</v>
      </c>
      <c r="G106" s="93" t="s">
        <v>121</v>
      </c>
    </row>
    <row r="107" spans="1:7" ht="18.2" customHeight="1" x14ac:dyDescent="0.2">
      <c r="A107" s="92" t="s">
        <v>6</v>
      </c>
      <c r="B107" s="93">
        <f t="shared" si="2"/>
        <v>1485420</v>
      </c>
      <c r="C107" s="93">
        <v>1450581</v>
      </c>
      <c r="D107" s="93">
        <v>14702</v>
      </c>
      <c r="E107" s="93">
        <v>6797</v>
      </c>
      <c r="F107" s="93">
        <v>762</v>
      </c>
      <c r="G107" s="93">
        <v>12578</v>
      </c>
    </row>
    <row r="108" spans="1:7" ht="18.2" customHeight="1" x14ac:dyDescent="0.2">
      <c r="A108" s="94" t="s">
        <v>82</v>
      </c>
      <c r="B108" s="93">
        <f t="shared" si="2"/>
        <v>0</v>
      </c>
      <c r="C108" s="93" t="s">
        <v>121</v>
      </c>
      <c r="D108" s="93" t="s">
        <v>121</v>
      </c>
      <c r="E108" s="93" t="s">
        <v>121</v>
      </c>
      <c r="F108" s="93" t="s">
        <v>121</v>
      </c>
      <c r="G108" s="93" t="s">
        <v>121</v>
      </c>
    </row>
    <row r="109" spans="1:7" ht="18.2" customHeight="1" x14ac:dyDescent="0.2">
      <c r="A109" s="92" t="s">
        <v>25</v>
      </c>
      <c r="B109" s="93">
        <f t="shared" si="2"/>
        <v>0</v>
      </c>
      <c r="C109" s="93" t="s">
        <v>121</v>
      </c>
      <c r="D109" s="93" t="s">
        <v>121</v>
      </c>
      <c r="E109" s="93" t="s">
        <v>121</v>
      </c>
      <c r="F109" s="93" t="s">
        <v>121</v>
      </c>
      <c r="G109" s="93" t="s">
        <v>121</v>
      </c>
    </row>
    <row r="110" spans="1:7" ht="18.2" customHeight="1" x14ac:dyDescent="0.2">
      <c r="A110" s="92" t="s">
        <v>10</v>
      </c>
      <c r="B110" s="93">
        <f t="shared" si="2"/>
        <v>453674</v>
      </c>
      <c r="C110" s="93">
        <v>440869</v>
      </c>
      <c r="D110" s="93">
        <v>3646</v>
      </c>
      <c r="E110" s="93">
        <v>4129</v>
      </c>
      <c r="F110" s="93">
        <v>11</v>
      </c>
      <c r="G110" s="93">
        <v>5019</v>
      </c>
    </row>
    <row r="111" spans="1:7" ht="18.2" customHeight="1" x14ac:dyDescent="0.2">
      <c r="A111" s="92" t="s">
        <v>24</v>
      </c>
      <c r="B111" s="93">
        <f t="shared" si="2"/>
        <v>556879</v>
      </c>
      <c r="C111" s="96">
        <v>544982</v>
      </c>
      <c r="D111" s="93">
        <v>2625</v>
      </c>
      <c r="E111" s="93">
        <v>1947</v>
      </c>
      <c r="F111" s="93">
        <v>16</v>
      </c>
      <c r="G111" s="93">
        <v>7309</v>
      </c>
    </row>
    <row r="112" spans="1:7" ht="18.2" customHeight="1" x14ac:dyDescent="0.2">
      <c r="A112" s="92" t="s">
        <v>20</v>
      </c>
      <c r="B112" s="93">
        <f t="shared" si="2"/>
        <v>39400</v>
      </c>
      <c r="C112" s="93">
        <v>38171</v>
      </c>
      <c r="D112" s="93">
        <v>362</v>
      </c>
      <c r="E112" s="93">
        <v>75</v>
      </c>
      <c r="F112" s="93">
        <v>1</v>
      </c>
      <c r="G112" s="93">
        <v>791</v>
      </c>
    </row>
    <row r="113" spans="1:7" ht="18.2" customHeight="1" x14ac:dyDescent="0.2">
      <c r="A113" s="92" t="s">
        <v>65</v>
      </c>
      <c r="B113" s="93">
        <f t="shared" si="2"/>
        <v>0</v>
      </c>
      <c r="C113" s="93" t="s">
        <v>121</v>
      </c>
      <c r="D113" s="93" t="s">
        <v>121</v>
      </c>
      <c r="E113" s="93" t="s">
        <v>121</v>
      </c>
      <c r="F113" s="93" t="s">
        <v>121</v>
      </c>
      <c r="G113" s="93" t="s">
        <v>121</v>
      </c>
    </row>
    <row r="115" spans="1:7" ht="12" x14ac:dyDescent="0.2">
      <c r="G115" s="98" t="s">
        <v>68</v>
      </c>
    </row>
  </sheetData>
  <mergeCells count="9">
    <mergeCell ref="A77:G77"/>
    <mergeCell ref="A79:A80"/>
    <mergeCell ref="B79:G79"/>
    <mergeCell ref="A1:G1"/>
    <mergeCell ref="A3:A4"/>
    <mergeCell ref="B3:G3"/>
    <mergeCell ref="A39:G39"/>
    <mergeCell ref="A41:A42"/>
    <mergeCell ref="B41:G41"/>
  </mergeCells>
  <printOptions horizontalCentered="1"/>
  <pageMargins left="0.6692913385826772" right="0.6692913385826772" top="0.98425196850393704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"/>
  <sheetViews>
    <sheetView tabSelected="1"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8.85546875" style="69" customWidth="1"/>
    <col min="2" max="2" width="8.7109375" style="69" customWidth="1"/>
    <col min="3" max="3" width="9.5703125" style="69" customWidth="1"/>
    <col min="4" max="4" width="11.85546875" style="69" customWidth="1"/>
    <col min="5" max="5" width="10.42578125" style="69" customWidth="1"/>
    <col min="6" max="6" width="11" style="69" customWidth="1"/>
    <col min="7" max="7" width="7.7109375" style="69" customWidth="1"/>
    <col min="8" max="8" width="8.140625" style="69" customWidth="1"/>
    <col min="9" max="9" width="8.7109375" style="69" customWidth="1"/>
    <col min="10" max="16384" width="9.140625" style="69"/>
  </cols>
  <sheetData>
    <row r="1" spans="1:13" ht="60" customHeight="1" x14ac:dyDescent="0.2">
      <c r="A1" s="116" t="s">
        <v>52</v>
      </c>
      <c r="B1" s="116"/>
      <c r="C1" s="116"/>
      <c r="D1" s="116"/>
      <c r="E1" s="116"/>
      <c r="F1" s="116"/>
      <c r="G1" s="116"/>
      <c r="H1" s="116"/>
      <c r="I1" s="116"/>
    </row>
    <row r="2" spans="1:13" s="70" customFormat="1" ht="12.95" customHeight="1" x14ac:dyDescent="0.2">
      <c r="A2" s="9" t="s">
        <v>153</v>
      </c>
      <c r="G2" s="121" t="s">
        <v>124</v>
      </c>
      <c r="H2" s="121"/>
      <c r="I2" s="121"/>
    </row>
    <row r="3" spans="1:13" s="103" customFormat="1" ht="25.5" customHeight="1" x14ac:dyDescent="0.2">
      <c r="A3" s="83" t="s">
        <v>28</v>
      </c>
      <c r="B3" s="83" t="s">
        <v>5</v>
      </c>
      <c r="C3" s="83" t="s">
        <v>1</v>
      </c>
      <c r="D3" s="83" t="s">
        <v>2</v>
      </c>
      <c r="E3" s="83" t="s">
        <v>3</v>
      </c>
      <c r="F3" s="83" t="s">
        <v>99</v>
      </c>
      <c r="G3" s="83" t="s">
        <v>126</v>
      </c>
      <c r="H3" s="83" t="s">
        <v>125</v>
      </c>
      <c r="I3" s="83" t="s">
        <v>30</v>
      </c>
    </row>
    <row r="4" spans="1:13" s="103" customFormat="1" ht="25.5" customHeight="1" x14ac:dyDescent="0.2">
      <c r="A4" s="114" t="s">
        <v>71</v>
      </c>
      <c r="B4" s="71">
        <f t="shared" ref="B4:B5" si="0">SUM(C4:I4)</f>
        <v>9660</v>
      </c>
      <c r="C4" s="72">
        <v>5901</v>
      </c>
      <c r="D4" s="72">
        <v>746</v>
      </c>
      <c r="E4" s="72">
        <v>2277</v>
      </c>
      <c r="F4" s="72">
        <v>133</v>
      </c>
      <c r="G4" s="72">
        <v>13</v>
      </c>
      <c r="H4" s="72">
        <v>588</v>
      </c>
      <c r="I4" s="72">
        <v>2</v>
      </c>
      <c r="J4" s="73"/>
      <c r="K4" s="104"/>
      <c r="L4" s="104"/>
      <c r="M4" s="104"/>
    </row>
    <row r="5" spans="1:13" s="103" customFormat="1" ht="25.5" customHeight="1" x14ac:dyDescent="0.2">
      <c r="A5" s="114" t="s">
        <v>75</v>
      </c>
      <c r="B5" s="71">
        <f t="shared" si="0"/>
        <v>10278</v>
      </c>
      <c r="C5" s="72">
        <v>6124</v>
      </c>
      <c r="D5" s="72">
        <v>776</v>
      </c>
      <c r="E5" s="72">
        <v>2550</v>
      </c>
      <c r="F5" s="72">
        <v>121</v>
      </c>
      <c r="G5" s="72">
        <v>13</v>
      </c>
      <c r="H5" s="72">
        <v>651</v>
      </c>
      <c r="I5" s="72">
        <v>43</v>
      </c>
      <c r="K5" s="104"/>
      <c r="L5" s="104"/>
      <c r="M5" s="104"/>
    </row>
    <row r="6" spans="1:13" s="103" customFormat="1" ht="25.5" customHeight="1" x14ac:dyDescent="0.2">
      <c r="A6" s="114" t="s">
        <v>87</v>
      </c>
      <c r="B6" s="74">
        <f>SUM(C6:I6)</f>
        <v>10677</v>
      </c>
      <c r="C6" s="72">
        <v>6042</v>
      </c>
      <c r="D6" s="72">
        <v>797</v>
      </c>
      <c r="E6" s="72">
        <v>2670</v>
      </c>
      <c r="F6" s="72">
        <v>103</v>
      </c>
      <c r="G6" s="72">
        <v>13</v>
      </c>
      <c r="H6" s="72">
        <v>677</v>
      </c>
      <c r="I6" s="72">
        <v>375</v>
      </c>
      <c r="J6" s="105"/>
      <c r="K6" s="104"/>
      <c r="L6" s="104"/>
      <c r="M6" s="104"/>
    </row>
    <row r="7" spans="1:13" s="70" customFormat="1" ht="13.15" customHeight="1" x14ac:dyDescent="0.2">
      <c r="A7" s="122"/>
      <c r="B7" s="122"/>
      <c r="C7" s="75"/>
      <c r="D7" s="75"/>
      <c r="E7" s="75"/>
      <c r="F7" s="75"/>
      <c r="G7" s="75"/>
      <c r="H7" s="75"/>
      <c r="I7" s="75"/>
      <c r="K7" s="76"/>
      <c r="L7" s="76"/>
      <c r="M7" s="76"/>
    </row>
    <row r="8" spans="1:13" s="70" customFormat="1" ht="12" x14ac:dyDescent="0.2">
      <c r="A8" s="123" t="s">
        <v>83</v>
      </c>
      <c r="B8" s="123"/>
      <c r="C8" s="123"/>
      <c r="D8" s="77"/>
      <c r="J8" s="78"/>
      <c r="K8" s="76"/>
      <c r="L8" s="76"/>
      <c r="M8" s="76"/>
    </row>
    <row r="9" spans="1:13" s="70" customFormat="1" ht="13.15" customHeight="1" x14ac:dyDescent="0.2">
      <c r="A9" s="79"/>
      <c r="B9" s="80"/>
      <c r="F9" s="81"/>
      <c r="G9" s="81"/>
      <c r="H9" s="81"/>
      <c r="I9" s="22" t="s">
        <v>93</v>
      </c>
      <c r="J9" s="78"/>
    </row>
  </sheetData>
  <mergeCells count="4">
    <mergeCell ref="A1:I1"/>
    <mergeCell ref="G2:I2"/>
    <mergeCell ref="A7:B7"/>
    <mergeCell ref="A8:C8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1"/>
  <sheetViews>
    <sheetView view="pageBreakPreview" zoomScaleSheetLayoutView="100" workbookViewId="0">
      <selection activeCell="A5" sqref="A5:A7"/>
    </sheetView>
  </sheetViews>
  <sheetFormatPr defaultRowHeight="12.75" x14ac:dyDescent="0.2"/>
  <cols>
    <col min="1" max="1" width="9.140625" customWidth="1"/>
    <col min="2" max="2" width="11" customWidth="1"/>
    <col min="3" max="3" width="9.42578125" customWidth="1"/>
    <col min="4" max="4" width="11.28515625" customWidth="1"/>
    <col min="5" max="5" width="8.85546875" customWidth="1"/>
    <col min="6" max="6" width="15.28515625" customWidth="1"/>
    <col min="7" max="7" width="8.140625" bestFit="1" customWidth="1"/>
    <col min="8" max="8" width="12.5703125" customWidth="1"/>
  </cols>
  <sheetData>
    <row r="1" spans="1:8" ht="60" customHeight="1" x14ac:dyDescent="0.2">
      <c r="A1" s="116" t="s">
        <v>53</v>
      </c>
      <c r="B1" s="116"/>
      <c r="C1" s="116"/>
      <c r="D1" s="116"/>
      <c r="E1" s="116"/>
      <c r="F1" s="116"/>
      <c r="G1" s="116"/>
      <c r="H1" s="116"/>
    </row>
    <row r="2" spans="1:8" s="7" customFormat="1" ht="12.95" customHeight="1" x14ac:dyDescent="0.2">
      <c r="A2" s="7" t="s">
        <v>61</v>
      </c>
    </row>
    <row r="3" spans="1:8" ht="25.5" customHeight="1" x14ac:dyDescent="0.2">
      <c r="A3" s="125" t="s">
        <v>28</v>
      </c>
      <c r="B3" s="124" t="s">
        <v>29</v>
      </c>
      <c r="C3" s="124"/>
      <c r="D3" s="124" t="s">
        <v>55</v>
      </c>
      <c r="E3" s="124"/>
      <c r="F3" s="124" t="s">
        <v>135</v>
      </c>
      <c r="G3" s="124" t="s">
        <v>128</v>
      </c>
      <c r="H3" s="124"/>
    </row>
    <row r="4" spans="1:8" ht="25.5" customHeight="1" x14ac:dyDescent="0.2">
      <c r="A4" s="125"/>
      <c r="B4" s="106" t="s">
        <v>127</v>
      </c>
      <c r="C4" s="106" t="s">
        <v>47</v>
      </c>
      <c r="D4" s="106" t="s">
        <v>127</v>
      </c>
      <c r="E4" s="106" t="s">
        <v>47</v>
      </c>
      <c r="F4" s="124"/>
      <c r="G4" s="106" t="s">
        <v>29</v>
      </c>
      <c r="H4" s="106" t="s">
        <v>57</v>
      </c>
    </row>
    <row r="5" spans="1:8" ht="25.5" customHeight="1" x14ac:dyDescent="0.2">
      <c r="A5" s="115" t="s">
        <v>71</v>
      </c>
      <c r="B5" s="37">
        <v>95530</v>
      </c>
      <c r="C5" s="36">
        <v>202.934</v>
      </c>
      <c r="D5" s="36">
        <v>9660</v>
      </c>
      <c r="E5" s="36">
        <f>29.947+4.561</f>
        <v>34.507999999999996</v>
      </c>
      <c r="F5" s="55">
        <f>D5/B5*100</f>
        <v>10.112006699466136</v>
      </c>
      <c r="G5" s="34">
        <f>B5/C5</f>
        <v>470.74418283776993</v>
      </c>
      <c r="H5" s="34">
        <f>D5/E5</f>
        <v>279.93508751593839</v>
      </c>
    </row>
    <row r="6" spans="1:8" ht="25.5" customHeight="1" x14ac:dyDescent="0.2">
      <c r="A6" s="115" t="s">
        <v>75</v>
      </c>
      <c r="B6" s="37">
        <v>106927</v>
      </c>
      <c r="C6" s="36">
        <v>207.06700000000001</v>
      </c>
      <c r="D6" s="36">
        <v>10278</v>
      </c>
      <c r="E6" s="36">
        <v>36.125999999999998</v>
      </c>
      <c r="F6" s="55">
        <f t="shared" ref="F6:F7" si="0">D6/B6*100</f>
        <v>9.6121653090426182</v>
      </c>
      <c r="G6" s="34">
        <f t="shared" ref="G6:G7" si="1">B6/C6</f>
        <v>516.38841534382584</v>
      </c>
      <c r="H6" s="34">
        <f t="shared" ref="H6:H7" si="2">D6/E6</f>
        <v>284.50423517688091</v>
      </c>
    </row>
    <row r="7" spans="1:8" ht="25.5" customHeight="1" x14ac:dyDescent="0.2">
      <c r="A7" s="115" t="s">
        <v>87</v>
      </c>
      <c r="B7" s="37">
        <v>109461</v>
      </c>
      <c r="C7" s="36">
        <v>211.17699999999999</v>
      </c>
      <c r="D7" s="35">
        <v>10677</v>
      </c>
      <c r="E7" s="36">
        <v>37.146000000000001</v>
      </c>
      <c r="F7" s="55">
        <f t="shared" si="0"/>
        <v>9.7541590155397824</v>
      </c>
      <c r="G7" s="34">
        <f t="shared" si="1"/>
        <v>518.33769776064628</v>
      </c>
      <c r="H7" s="34">
        <f t="shared" si="2"/>
        <v>287.43337102245192</v>
      </c>
    </row>
    <row r="8" spans="1:8" s="7" customFormat="1" ht="13.15" customHeight="1" x14ac:dyDescent="0.2">
      <c r="A8" s="14"/>
      <c r="G8" s="24"/>
      <c r="H8" s="24"/>
    </row>
    <row r="9" spans="1:8" s="7" customFormat="1" ht="13.15" customHeight="1" x14ac:dyDescent="0.2">
      <c r="A9" s="14"/>
      <c r="F9" s="32"/>
      <c r="G9" s="32"/>
      <c r="H9" s="26" t="s">
        <v>129</v>
      </c>
    </row>
    <row r="10" spans="1:8" x14ac:dyDescent="0.2">
      <c r="B10" s="2"/>
      <c r="D10" s="9"/>
      <c r="E10" s="8"/>
      <c r="G10" s="8"/>
      <c r="H10" s="8"/>
    </row>
    <row r="11" spans="1:8" x14ac:dyDescent="0.2">
      <c r="D11" s="9"/>
      <c r="E11" s="9"/>
      <c r="G11" s="9"/>
      <c r="H11" s="9"/>
    </row>
  </sheetData>
  <mergeCells count="6">
    <mergeCell ref="G3:H3"/>
    <mergeCell ref="A1:H1"/>
    <mergeCell ref="D3:E3"/>
    <mergeCell ref="B3:C3"/>
    <mergeCell ref="A3:A4"/>
    <mergeCell ref="F3:F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"/>
  <sheetViews>
    <sheetView view="pageBreakPreview" zoomScaleSheetLayoutView="100" workbookViewId="0">
      <selection activeCell="A6" sqref="A6:A8"/>
    </sheetView>
  </sheetViews>
  <sheetFormatPr defaultRowHeight="12.75" x14ac:dyDescent="0.2"/>
  <cols>
    <col min="1" max="1" width="8.7109375" customWidth="1"/>
    <col min="2" max="2" width="6.5703125" bestFit="1" customWidth="1"/>
    <col min="3" max="4" width="7.5703125" bestFit="1" customWidth="1"/>
    <col min="5" max="5" width="11.28515625" bestFit="1" customWidth="1"/>
    <col min="6" max="6" width="9.28515625" bestFit="1" customWidth="1"/>
    <col min="7" max="7" width="11.28515625" bestFit="1" customWidth="1"/>
    <col min="8" max="9" width="10.28515625" customWidth="1"/>
    <col min="10" max="10" width="9.42578125" customWidth="1"/>
  </cols>
  <sheetData>
    <row r="1" spans="1:10" ht="60" customHeight="1" x14ac:dyDescent="0.2">
      <c r="A1" s="126" t="s">
        <v>147</v>
      </c>
      <c r="B1" s="126"/>
      <c r="C1" s="126"/>
      <c r="D1" s="126"/>
      <c r="E1" s="126"/>
      <c r="F1" s="126"/>
      <c r="G1" s="126"/>
      <c r="H1" s="126"/>
      <c r="I1" s="126"/>
    </row>
    <row r="2" spans="1:10" s="7" customFormat="1" ht="12.75" customHeight="1" x14ac:dyDescent="0.2">
      <c r="A2" s="7" t="s">
        <v>149</v>
      </c>
    </row>
    <row r="3" spans="1:10" s="109" customFormat="1" ht="30" customHeight="1" x14ac:dyDescent="0.2">
      <c r="A3" s="117" t="s">
        <v>28</v>
      </c>
      <c r="B3" s="127" t="s">
        <v>29</v>
      </c>
      <c r="C3" s="128"/>
      <c r="D3" s="128"/>
      <c r="E3" s="129"/>
      <c r="F3" s="131" t="s">
        <v>57</v>
      </c>
      <c r="G3" s="131"/>
      <c r="H3" s="132" t="s">
        <v>56</v>
      </c>
      <c r="I3" s="133"/>
    </row>
    <row r="4" spans="1:10" s="109" customFormat="1" ht="30" customHeight="1" x14ac:dyDescent="0.2">
      <c r="A4" s="117"/>
      <c r="B4" s="130" t="s">
        <v>146</v>
      </c>
      <c r="C4" s="128"/>
      <c r="D4" s="129"/>
      <c r="E4" s="108" t="s">
        <v>145</v>
      </c>
      <c r="F4" s="108" t="s">
        <v>130</v>
      </c>
      <c r="G4" s="108" t="s">
        <v>145</v>
      </c>
      <c r="H4" s="134"/>
      <c r="I4" s="135"/>
    </row>
    <row r="5" spans="1:10" s="109" customFormat="1" ht="67.5" x14ac:dyDescent="0.2">
      <c r="A5" s="117"/>
      <c r="B5" s="111" t="s">
        <v>140</v>
      </c>
      <c r="C5" s="111" t="s">
        <v>144</v>
      </c>
      <c r="D5" s="111" t="s">
        <v>5</v>
      </c>
      <c r="E5" s="111" t="s">
        <v>143</v>
      </c>
      <c r="F5" s="111" t="s">
        <v>140</v>
      </c>
      <c r="G5" s="111" t="s">
        <v>143</v>
      </c>
      <c r="H5" s="112" t="s">
        <v>142</v>
      </c>
      <c r="I5" s="112" t="s">
        <v>141</v>
      </c>
    </row>
    <row r="6" spans="1:10" s="109" customFormat="1" ht="24.95" customHeight="1" x14ac:dyDescent="0.2">
      <c r="A6" s="113" t="s">
        <v>71</v>
      </c>
      <c r="B6" s="35">
        <v>32182.7</v>
      </c>
      <c r="C6" s="35">
        <f>D6-B6</f>
        <v>90935.3</v>
      </c>
      <c r="D6" s="35">
        <v>123118</v>
      </c>
      <c r="E6" s="35">
        <v>95530</v>
      </c>
      <c r="F6" s="35">
        <v>17936</v>
      </c>
      <c r="G6" s="35">
        <v>9660</v>
      </c>
      <c r="H6" s="57">
        <f>F6/B6*100</f>
        <v>55.731806218869139</v>
      </c>
      <c r="I6" s="57">
        <f>G6/E6*100</f>
        <v>10.112006699466136</v>
      </c>
      <c r="J6" s="110"/>
    </row>
    <row r="7" spans="1:10" s="109" customFormat="1" ht="24.95" customHeight="1" x14ac:dyDescent="0.2">
      <c r="A7" s="46" t="s">
        <v>75</v>
      </c>
      <c r="B7" s="35">
        <v>27924.6</v>
      </c>
      <c r="C7" s="35">
        <f>D7-B7</f>
        <v>103350.39999999999</v>
      </c>
      <c r="D7" s="35">
        <v>131275</v>
      </c>
      <c r="E7" s="35">
        <v>106927</v>
      </c>
      <c r="F7" s="35">
        <v>15691</v>
      </c>
      <c r="G7" s="35">
        <v>10278</v>
      </c>
      <c r="H7" s="57">
        <f>F7/B7*100</f>
        <v>56.190598970083727</v>
      </c>
      <c r="I7" s="57">
        <f>G7/E7*100</f>
        <v>9.6121653090426182</v>
      </c>
    </row>
    <row r="8" spans="1:10" s="109" customFormat="1" ht="24.95" customHeight="1" x14ac:dyDescent="0.2">
      <c r="A8" s="113" t="s">
        <v>87</v>
      </c>
      <c r="B8" s="35">
        <v>27339.3</v>
      </c>
      <c r="C8" s="35">
        <f>D8-B8</f>
        <v>101192.7</v>
      </c>
      <c r="D8" s="35">
        <v>128532</v>
      </c>
      <c r="E8" s="35">
        <v>109461</v>
      </c>
      <c r="F8" s="35">
        <v>15280</v>
      </c>
      <c r="G8" s="35">
        <v>10677</v>
      </c>
      <c r="H8" s="57">
        <f>F8/B8*100</f>
        <v>55.890238594258079</v>
      </c>
      <c r="I8" s="57">
        <f>G8/E8*100</f>
        <v>9.7541590155397824</v>
      </c>
    </row>
    <row r="9" spans="1:10" s="7" customFormat="1" ht="13.15" customHeight="1" x14ac:dyDescent="0.2">
      <c r="H9" s="9"/>
      <c r="I9" s="9"/>
    </row>
    <row r="10" spans="1:10" x14ac:dyDescent="0.2">
      <c r="B10" s="2"/>
      <c r="C10" s="2"/>
      <c r="D10" s="2"/>
      <c r="G10" s="7"/>
      <c r="I10" s="26" t="s">
        <v>129</v>
      </c>
    </row>
  </sheetData>
  <mergeCells count="6">
    <mergeCell ref="A1:I1"/>
    <mergeCell ref="A3:A5"/>
    <mergeCell ref="B3:E3"/>
    <mergeCell ref="B4:D4"/>
    <mergeCell ref="F3:G3"/>
    <mergeCell ref="H3:I4"/>
  </mergeCells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3"/>
  <sheetViews>
    <sheetView view="pageBreakPreview" zoomScale="106" zoomScaleSheetLayoutView="106" workbookViewId="0">
      <selection activeCell="A4" sqref="A4:A6"/>
    </sheetView>
  </sheetViews>
  <sheetFormatPr defaultRowHeight="12.75" x14ac:dyDescent="0.2"/>
  <cols>
    <col min="1" max="4" width="14.7109375" customWidth="1"/>
    <col min="5" max="5" width="15.7109375" customWidth="1"/>
  </cols>
  <sheetData>
    <row r="1" spans="1:6" ht="60" customHeight="1" x14ac:dyDescent="0.2">
      <c r="A1" s="116" t="s">
        <v>58</v>
      </c>
      <c r="B1" s="116"/>
      <c r="C1" s="116"/>
      <c r="D1" s="116"/>
      <c r="E1" s="116"/>
      <c r="F1" s="3"/>
    </row>
    <row r="2" spans="1:6" s="7" customFormat="1" ht="13.15" customHeight="1" x14ac:dyDescent="0.2">
      <c r="A2" s="7" t="s">
        <v>148</v>
      </c>
      <c r="E2" s="66" t="s">
        <v>66</v>
      </c>
      <c r="F2" s="1"/>
    </row>
    <row r="3" spans="1:6" ht="25.5" customHeight="1" x14ac:dyDescent="0.2">
      <c r="A3" s="4" t="s">
        <v>28</v>
      </c>
      <c r="B3" s="4" t="s">
        <v>5</v>
      </c>
      <c r="C3" s="4" t="s">
        <v>131</v>
      </c>
      <c r="D3" s="4" t="s">
        <v>2</v>
      </c>
      <c r="E3" s="4" t="s">
        <v>136</v>
      </c>
    </row>
    <row r="4" spans="1:6" ht="25.5" customHeight="1" x14ac:dyDescent="0.2">
      <c r="A4" s="113" t="s">
        <v>71</v>
      </c>
      <c r="B4" s="58">
        <f t="shared" ref="B4:B5" si="0">SUM(C4:E4)</f>
        <v>726114</v>
      </c>
      <c r="C4" s="59">
        <v>716539</v>
      </c>
      <c r="D4" s="59">
        <v>8725</v>
      </c>
      <c r="E4" s="59">
        <v>850</v>
      </c>
      <c r="F4" s="15"/>
    </row>
    <row r="5" spans="1:6" ht="25.5" customHeight="1" x14ac:dyDescent="0.2">
      <c r="A5" s="113" t="s">
        <v>75</v>
      </c>
      <c r="B5" s="58">
        <f t="shared" si="0"/>
        <v>813501</v>
      </c>
      <c r="C5" s="59">
        <v>803580</v>
      </c>
      <c r="D5" s="59">
        <v>9064</v>
      </c>
      <c r="E5" s="59">
        <v>857</v>
      </c>
    </row>
    <row r="6" spans="1:6" ht="25.5" customHeight="1" x14ac:dyDescent="0.2">
      <c r="A6" s="113" t="s">
        <v>87</v>
      </c>
      <c r="B6" s="60">
        <f>SUM(C6:E6)</f>
        <v>878150</v>
      </c>
      <c r="C6" s="58">
        <v>867903</v>
      </c>
      <c r="D6" s="58">
        <v>9378</v>
      </c>
      <c r="E6" s="58">
        <v>869</v>
      </c>
    </row>
    <row r="7" spans="1:6" s="7" customFormat="1" ht="18.75" customHeight="1" x14ac:dyDescent="0.2">
      <c r="A7" s="14"/>
      <c r="B7" s="31"/>
      <c r="C7" s="31"/>
      <c r="D7" s="31"/>
      <c r="E7" s="107" t="s">
        <v>129</v>
      </c>
    </row>
    <row r="8" spans="1:6" s="7" customFormat="1" ht="13.15" customHeight="1" x14ac:dyDescent="0.2"/>
    <row r="9" spans="1:6" x14ac:dyDescent="0.2">
      <c r="B9" s="2"/>
    </row>
    <row r="10" spans="1:6" x14ac:dyDescent="0.2">
      <c r="A10" s="11"/>
      <c r="B10" s="7"/>
      <c r="C10" s="8"/>
    </row>
    <row r="11" spans="1:6" ht="15.75" x14ac:dyDescent="0.2">
      <c r="A11" s="13"/>
    </row>
    <row r="13" spans="1:6" ht="8.25" customHeight="1" x14ac:dyDescent="0.2"/>
  </sheetData>
  <mergeCells count="1">
    <mergeCell ref="A1:E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1"/>
  <sheetViews>
    <sheetView view="pageBreakPreview" zoomScaleSheetLayoutView="100" workbookViewId="0">
      <selection activeCell="A3" sqref="A3"/>
    </sheetView>
  </sheetViews>
  <sheetFormatPr defaultRowHeight="12.75" x14ac:dyDescent="0.2"/>
  <cols>
    <col min="1" max="1" width="26.42578125" style="38" customWidth="1"/>
    <col min="2" max="2" width="15.7109375" style="38" customWidth="1"/>
    <col min="3" max="5" width="14.7109375" style="38" customWidth="1"/>
    <col min="6" max="16384" width="9.140625" style="38"/>
  </cols>
  <sheetData>
    <row r="1" spans="1:5" ht="60" customHeight="1" x14ac:dyDescent="0.2">
      <c r="A1" s="126" t="s">
        <v>54</v>
      </c>
      <c r="B1" s="126"/>
      <c r="C1" s="126"/>
      <c r="D1" s="126"/>
      <c r="E1" s="126"/>
    </row>
    <row r="2" spans="1:5" s="25" customFormat="1" ht="12.95" customHeight="1" x14ac:dyDescent="0.2">
      <c r="A2" s="25" t="s">
        <v>90</v>
      </c>
    </row>
    <row r="3" spans="1:5" ht="25.5" customHeight="1" x14ac:dyDescent="0.2">
      <c r="A3" s="39" t="s">
        <v>31</v>
      </c>
      <c r="B3" s="39" t="s">
        <v>32</v>
      </c>
      <c r="C3" s="39" t="s">
        <v>71</v>
      </c>
      <c r="D3" s="39" t="s">
        <v>75</v>
      </c>
      <c r="E3" s="39" t="s">
        <v>87</v>
      </c>
    </row>
    <row r="4" spans="1:5" ht="25.5" customHeight="1" x14ac:dyDescent="0.2">
      <c r="A4" s="40" t="s">
        <v>44</v>
      </c>
      <c r="B4" s="28" t="s">
        <v>84</v>
      </c>
      <c r="C4" s="33">
        <v>69714</v>
      </c>
      <c r="D4" s="33">
        <v>75605</v>
      </c>
      <c r="E4" s="33">
        <v>78777</v>
      </c>
    </row>
    <row r="5" spans="1:5" ht="25.5" customHeight="1" x14ac:dyDescent="0.2">
      <c r="A5" s="64" t="s">
        <v>137</v>
      </c>
      <c r="B5" s="29" t="s">
        <v>43</v>
      </c>
      <c r="C5" s="16">
        <v>34.507999999999996</v>
      </c>
      <c r="D5" s="16">
        <v>36.125999999999998</v>
      </c>
      <c r="E5" s="16">
        <v>37.146000000000001</v>
      </c>
    </row>
    <row r="6" spans="1:5" ht="25.5" customHeight="1" x14ac:dyDescent="0.2">
      <c r="A6" s="40" t="s">
        <v>51</v>
      </c>
      <c r="B6" s="28" t="s">
        <v>85</v>
      </c>
      <c r="C6" s="16">
        <f>C4/C5</f>
        <v>2020.2271936942161</v>
      </c>
      <c r="D6" s="16">
        <f>D4/D5</f>
        <v>2092.814039749765</v>
      </c>
      <c r="E6" s="61">
        <f>E4/E5</f>
        <v>2120.7397835567758</v>
      </c>
    </row>
    <row r="7" spans="1:5" s="25" customFormat="1" ht="13.15" customHeight="1" x14ac:dyDescent="0.2">
      <c r="B7" s="41"/>
      <c r="C7" s="27"/>
      <c r="D7" s="27"/>
      <c r="E7" s="27"/>
    </row>
    <row r="8" spans="1:5" s="25" customFormat="1" ht="13.15" customHeight="1" x14ac:dyDescent="0.2">
      <c r="A8" s="14" t="s">
        <v>91</v>
      </c>
      <c r="C8" s="42"/>
      <c r="E8" s="43" t="s">
        <v>94</v>
      </c>
    </row>
    <row r="9" spans="1:5" ht="18.75" customHeight="1" x14ac:dyDescent="0.2"/>
    <row r="10" spans="1:5" x14ac:dyDescent="0.2">
      <c r="A10" s="11"/>
      <c r="B10" s="44"/>
    </row>
    <row r="11" spans="1:5" x14ac:dyDescent="0.2">
      <c r="B11" s="45"/>
    </row>
  </sheetData>
  <mergeCells count="1">
    <mergeCell ref="A1:E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"/>
  <sheetViews>
    <sheetView view="pageBreakPreview" zoomScaleSheetLayoutView="100" workbookViewId="0">
      <selection activeCell="A5" sqref="A5:A7"/>
    </sheetView>
  </sheetViews>
  <sheetFormatPr defaultRowHeight="12.75" x14ac:dyDescent="0.2"/>
  <cols>
    <col min="1" max="1" width="10.140625" style="38" customWidth="1"/>
    <col min="2" max="2" width="10.7109375" style="38" customWidth="1"/>
    <col min="3" max="4" width="13.42578125" style="38" customWidth="1"/>
    <col min="5" max="5" width="10.7109375" style="38" customWidth="1"/>
    <col min="6" max="7" width="13.42578125" style="38" customWidth="1"/>
    <col min="8" max="16384" width="9.140625" style="38"/>
  </cols>
  <sheetData>
    <row r="1" spans="1:8" ht="60" customHeight="1" x14ac:dyDescent="0.2">
      <c r="A1" s="126" t="s">
        <v>138</v>
      </c>
      <c r="B1" s="126"/>
      <c r="C1" s="126"/>
      <c r="D1" s="126"/>
      <c r="E1" s="126"/>
      <c r="F1" s="126"/>
      <c r="G1" s="126"/>
    </row>
    <row r="2" spans="1:8" s="25" customFormat="1" ht="13.35" customHeight="1" x14ac:dyDescent="0.2">
      <c r="A2" s="25" t="s">
        <v>64</v>
      </c>
    </row>
    <row r="3" spans="1:8" ht="25.5" customHeight="1" x14ac:dyDescent="0.2">
      <c r="A3" s="136" t="s">
        <v>28</v>
      </c>
      <c r="B3" s="136" t="s">
        <v>33</v>
      </c>
      <c r="C3" s="136"/>
      <c r="D3" s="136"/>
      <c r="E3" s="136" t="s">
        <v>86</v>
      </c>
      <c r="F3" s="136"/>
      <c r="G3" s="136"/>
    </row>
    <row r="4" spans="1:8" ht="51" x14ac:dyDescent="0.2">
      <c r="A4" s="136"/>
      <c r="B4" s="46" t="s">
        <v>29</v>
      </c>
      <c r="C4" s="46" t="s">
        <v>55</v>
      </c>
      <c r="D4" s="46" t="s">
        <v>56</v>
      </c>
      <c r="E4" s="46" t="s">
        <v>29</v>
      </c>
      <c r="F4" s="46" t="s">
        <v>59</v>
      </c>
      <c r="G4" s="46" t="s">
        <v>56</v>
      </c>
    </row>
    <row r="5" spans="1:8" s="47" customFormat="1" ht="25.5" customHeight="1" x14ac:dyDescent="0.2">
      <c r="A5" s="115" t="s">
        <v>71</v>
      </c>
      <c r="B5" s="54">
        <v>8503751</v>
      </c>
      <c r="C5" s="54">
        <v>726114</v>
      </c>
      <c r="D5" s="56">
        <f t="shared" ref="D5:D6" si="0">C5/B5*100</f>
        <v>8.5387495471116228</v>
      </c>
      <c r="E5" s="54">
        <v>1377307</v>
      </c>
      <c r="F5" s="63">
        <v>69714</v>
      </c>
      <c r="G5" s="56">
        <f t="shared" ref="G5:G6" si="1">F5/E5*100</f>
        <v>5.0616166185171503</v>
      </c>
      <c r="H5" s="48"/>
    </row>
    <row r="6" spans="1:8" s="47" customFormat="1" ht="25.5" customHeight="1" x14ac:dyDescent="0.2">
      <c r="A6" s="115" t="s">
        <v>75</v>
      </c>
      <c r="B6" s="54">
        <v>9182633</v>
      </c>
      <c r="C6" s="54">
        <v>813501</v>
      </c>
      <c r="D6" s="56">
        <f t="shared" si="0"/>
        <v>8.8591256995678691</v>
      </c>
      <c r="E6" s="54">
        <v>1454697</v>
      </c>
      <c r="F6" s="63">
        <v>75605</v>
      </c>
      <c r="G6" s="56">
        <f t="shared" si="1"/>
        <v>5.1973022560711959</v>
      </c>
    </row>
    <row r="7" spans="1:8" s="47" customFormat="1" ht="25.5" customHeight="1" x14ac:dyDescent="0.2">
      <c r="A7" s="115" t="s">
        <v>87</v>
      </c>
      <c r="B7" s="54">
        <v>9719088</v>
      </c>
      <c r="C7" s="54">
        <v>878150</v>
      </c>
      <c r="D7" s="56">
        <f>C7/B7*100</f>
        <v>9.0353127783182963</v>
      </c>
      <c r="E7" s="54">
        <v>1453517</v>
      </c>
      <c r="F7" s="54">
        <v>78777</v>
      </c>
      <c r="G7" s="56">
        <f>F7/E7*100</f>
        <v>5.4197508525872076</v>
      </c>
    </row>
    <row r="8" spans="1:8" s="50" customFormat="1" ht="13.15" customHeight="1" x14ac:dyDescent="0.2">
      <c r="A8" s="14"/>
      <c r="B8" s="27"/>
      <c r="C8" s="27"/>
      <c r="D8" s="23"/>
      <c r="E8" s="27"/>
      <c r="F8" s="27"/>
      <c r="G8" s="23"/>
      <c r="H8" s="49"/>
    </row>
    <row r="9" spans="1:8" s="25" customFormat="1" ht="13.15" customHeight="1" x14ac:dyDescent="0.2">
      <c r="D9" s="42"/>
      <c r="E9" s="137" t="s">
        <v>95</v>
      </c>
      <c r="F9" s="137"/>
      <c r="G9" s="137"/>
    </row>
  </sheetData>
  <mergeCells count="5">
    <mergeCell ref="A3:A4"/>
    <mergeCell ref="B3:D3"/>
    <mergeCell ref="E3:G3"/>
    <mergeCell ref="A1:G1"/>
    <mergeCell ref="E9:G9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5"/>
  <sheetViews>
    <sheetView view="pageBreakPreview" zoomScaleSheetLayoutView="100" workbookViewId="0">
      <selection activeCell="A2" sqref="A2"/>
    </sheetView>
  </sheetViews>
  <sheetFormatPr defaultRowHeight="12.75" x14ac:dyDescent="0.2"/>
  <cols>
    <col min="1" max="1" width="6.7109375" style="38" customWidth="1"/>
    <col min="2" max="6" width="14.28515625" style="38" customWidth="1"/>
    <col min="7" max="16384" width="9.140625" style="38"/>
  </cols>
  <sheetData>
    <row r="1" spans="1:10" ht="60" customHeight="1" x14ac:dyDescent="0.2">
      <c r="A1" s="126" t="s">
        <v>139</v>
      </c>
      <c r="B1" s="126"/>
      <c r="C1" s="126"/>
      <c r="D1" s="126"/>
      <c r="E1" s="126"/>
      <c r="F1" s="126"/>
    </row>
    <row r="2" spans="1:10" s="25" customFormat="1" ht="12" x14ac:dyDescent="0.2">
      <c r="A2" s="25" t="s">
        <v>69</v>
      </c>
    </row>
    <row r="3" spans="1:10" ht="25.5" customHeight="1" x14ac:dyDescent="0.2">
      <c r="A3" s="62" t="s">
        <v>96</v>
      </c>
      <c r="B3" s="67" t="s">
        <v>97</v>
      </c>
      <c r="C3" s="62" t="s">
        <v>32</v>
      </c>
      <c r="D3" s="62" t="s">
        <v>71</v>
      </c>
      <c r="E3" s="62" t="s">
        <v>75</v>
      </c>
      <c r="F3" s="62" t="s">
        <v>87</v>
      </c>
    </row>
    <row r="4" spans="1:10" ht="25.5" customHeight="1" x14ac:dyDescent="0.2">
      <c r="A4" s="29">
        <v>1</v>
      </c>
      <c r="B4" s="64" t="s">
        <v>99</v>
      </c>
      <c r="C4" s="28" t="s">
        <v>103</v>
      </c>
      <c r="D4" s="33">
        <v>598</v>
      </c>
      <c r="E4" s="33">
        <v>2788</v>
      </c>
      <c r="F4" s="33">
        <v>2529</v>
      </c>
    </row>
    <row r="5" spans="1:10" ht="25.5" customHeight="1" x14ac:dyDescent="0.2">
      <c r="A5" s="29">
        <v>2</v>
      </c>
      <c r="B5" s="6" t="s">
        <v>1</v>
      </c>
      <c r="C5" s="28" t="s">
        <v>104</v>
      </c>
      <c r="D5" s="33">
        <v>5996</v>
      </c>
      <c r="E5" s="33">
        <v>5104</v>
      </c>
      <c r="F5" s="33">
        <v>3500</v>
      </c>
    </row>
    <row r="6" spans="1:10" ht="25.5" customHeight="1" x14ac:dyDescent="0.2">
      <c r="A6" s="65">
        <v>3</v>
      </c>
      <c r="B6" s="64" t="s">
        <v>98</v>
      </c>
      <c r="C6" s="28" t="s">
        <v>104</v>
      </c>
      <c r="D6" s="33">
        <f>101664+1859</f>
        <v>103523</v>
      </c>
      <c r="E6" s="33">
        <v>49126</v>
      </c>
      <c r="F6" s="33">
        <v>52675</v>
      </c>
      <c r="J6" s="82"/>
    </row>
    <row r="7" spans="1:10" ht="25.5" customHeight="1" x14ac:dyDescent="0.2">
      <c r="A7" s="65">
        <v>4</v>
      </c>
      <c r="B7" s="64" t="s">
        <v>102</v>
      </c>
      <c r="C7" s="28" t="s">
        <v>104</v>
      </c>
      <c r="D7" s="33">
        <f>65036+2449</f>
        <v>67485</v>
      </c>
      <c r="E7" s="33">
        <f>74056+2351</f>
        <v>76407</v>
      </c>
      <c r="F7" s="33">
        <v>55451</v>
      </c>
      <c r="J7" s="82"/>
    </row>
    <row r="8" spans="1:10" ht="25.5" customHeight="1" x14ac:dyDescent="0.2">
      <c r="A8" s="29">
        <v>5</v>
      </c>
      <c r="B8" s="64" t="s">
        <v>101</v>
      </c>
      <c r="C8" s="28" t="s">
        <v>104</v>
      </c>
      <c r="D8" s="33">
        <f>1204</f>
        <v>1204</v>
      </c>
      <c r="E8" s="33">
        <f>1277</f>
        <v>1277</v>
      </c>
      <c r="F8" s="33">
        <v>1010</v>
      </c>
      <c r="J8" s="82"/>
    </row>
    <row r="9" spans="1:10" ht="25.5" customHeight="1" x14ac:dyDescent="0.2">
      <c r="A9" s="65">
        <v>6</v>
      </c>
      <c r="B9" s="64" t="s">
        <v>100</v>
      </c>
      <c r="C9" s="28" t="s">
        <v>104</v>
      </c>
      <c r="D9" s="33">
        <f>1231128+88403</f>
        <v>1319531</v>
      </c>
      <c r="E9" s="33">
        <f>1430471+80517</f>
        <v>1510988</v>
      </c>
      <c r="F9" s="33">
        <v>1433971</v>
      </c>
      <c r="J9" s="82"/>
    </row>
    <row r="10" spans="1:10" ht="25.5" customHeight="1" x14ac:dyDescent="0.2">
      <c r="A10" s="138" t="s">
        <v>5</v>
      </c>
      <c r="B10" s="139"/>
      <c r="C10" s="62" t="s">
        <v>104</v>
      </c>
      <c r="D10" s="68">
        <f>SUM(D4:D9)</f>
        <v>1498337</v>
      </c>
      <c r="E10" s="68">
        <f t="shared" ref="E10:F10" si="0">SUM(E4:E9)</f>
        <v>1645690</v>
      </c>
      <c r="F10" s="68">
        <f t="shared" si="0"/>
        <v>1549136</v>
      </c>
    </row>
    <row r="11" spans="1:10" s="25" customFormat="1" ht="13.15" customHeight="1" x14ac:dyDescent="0.2">
      <c r="C11" s="41"/>
      <c r="D11" s="27"/>
      <c r="E11" s="27"/>
      <c r="F11" s="27"/>
    </row>
    <row r="12" spans="1:10" s="25" customFormat="1" ht="13.15" customHeight="1" x14ac:dyDescent="0.2">
      <c r="A12" s="14"/>
      <c r="B12" s="14"/>
      <c r="D12" s="42"/>
      <c r="F12" s="43" t="s">
        <v>94</v>
      </c>
    </row>
    <row r="13" spans="1:10" ht="18.75" customHeight="1" x14ac:dyDescent="0.2"/>
    <row r="14" spans="1:10" x14ac:dyDescent="0.2">
      <c r="A14" s="11"/>
      <c r="B14" s="11"/>
      <c r="C14" s="44"/>
    </row>
    <row r="15" spans="1:10" x14ac:dyDescent="0.2">
      <c r="C15" s="45"/>
    </row>
  </sheetData>
  <sortState ref="A4:F9">
    <sortCondition ref="B4:B9"/>
  </sortState>
  <mergeCells count="2">
    <mergeCell ref="A1:F1"/>
    <mergeCell ref="A10:B10"/>
  </mergeCells>
  <printOptions horizontalCentered="1"/>
  <pageMargins left="0.74803149606299202" right="0.74803149606299202" top="0.98425196850393704" bottom="0.98425196850393704" header="0.511811023622047" footer="0.511811023622047"/>
  <pageSetup paperSize="9" firstPageNumber="13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Table 113</vt:lpstr>
      <vt:lpstr>Table 114</vt:lpstr>
      <vt:lpstr>Table 115</vt:lpstr>
      <vt:lpstr>Table116</vt:lpstr>
      <vt:lpstr>Table117</vt:lpstr>
      <vt:lpstr>Table 118</vt:lpstr>
      <vt:lpstr>Table 119</vt:lpstr>
      <vt:lpstr>Table 120</vt:lpstr>
      <vt:lpstr>Table 121</vt:lpstr>
      <vt:lpstr>Table 122</vt:lpstr>
      <vt:lpstr>'Table 113'!Print_Area</vt:lpstr>
      <vt:lpstr>'Table 114'!Print_Area</vt:lpstr>
      <vt:lpstr>'Table 115'!Print_Area</vt:lpstr>
      <vt:lpstr>'Table 118'!Print_Area</vt:lpstr>
      <vt:lpstr>'Table 120'!Print_Area</vt:lpstr>
      <vt:lpstr>Table116!Print_Area</vt:lpstr>
      <vt:lpstr>Table117!Print_Area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2021-07-29T10:20:38Z</cp:lastPrinted>
  <dcterms:created xsi:type="dcterms:W3CDTF">2002-08-29T05:41:01Z</dcterms:created>
  <dcterms:modified xsi:type="dcterms:W3CDTF">2021-08-06T05:28:21Z</dcterms:modified>
</cp:coreProperties>
</file>